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4.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75" windowWidth="9075" windowHeight="3750" tabRatio="659" firstSheet="2" activeTab="8"/>
  </bookViews>
  <sheets>
    <sheet name="Capacités de gestion OP" sheetId="11" state="hidden" r:id="rId1"/>
    <sheet name="Cons Kouandé" sheetId="14" state="hidden" r:id="rId2"/>
    <sheet name="Stat coton" sheetId="13" r:id="rId3"/>
    <sheet name="STAT GOGOUNOU" sheetId="18" r:id="rId4"/>
    <sheet name="DONNEES QUANTITATIVES" sheetId="5" r:id="rId5"/>
    <sheet name="SYNTHE AUTO EVA" sheetId="7" r:id="rId6"/>
    <sheet name="RAPPORT" sheetId="1" r:id="rId7"/>
    <sheet name="PLAN D'ACTION2" sheetId="16" r:id="rId8"/>
    <sheet name="POINT FORTS &amp; POINT FAIBLES" sheetId="9" r:id="rId9"/>
    <sheet name="GRAPHIQUE  COMMUNE" sheetId="8" state="hidden" r:id="rId10"/>
    <sheet name="GRAPHIQUE  CVPC" sheetId="10" state="hidden" r:id="rId11"/>
    <sheet name="f" sheetId="15" state="hidden" r:id="rId12"/>
  </sheets>
  <externalReferences>
    <externalReference r:id="rId13"/>
  </externalReferences>
  <definedNames>
    <definedName name="_xlnm.Print_Titles" localSheetId="0">'Capacités de gestion OP'!$A$3:$IV$4</definedName>
    <definedName name="_xlnm.Print_Titles" localSheetId="7">'PLAN D''ACTION2'!$2:$2</definedName>
    <definedName name="_xlnm.Print_Titles" localSheetId="6">RAPPORT!$1:$2</definedName>
    <definedName name="_xlnm.Print_Titles" localSheetId="2">'Stat coton'!$A:$B,'Stat coton'!$1:$2</definedName>
    <definedName name="_xlnm.Print_Titles" localSheetId="5">'SYNTHE AUTO EVA'!$A:$B</definedName>
    <definedName name="KEROUPOURCENTAGECVPC">'Stat coton'!$E$6</definedName>
    <definedName name="KOUANDEPOURCENTAGECVPC" localSheetId="3">'[1]Stat coton'!$E$5</definedName>
    <definedName name="KOUANDEPOURCENTAGECVPC">'Stat coton'!$E$5</definedName>
    <definedName name="_xlnm.Print_Area" localSheetId="1">'Cons Kouandé'!$A$1:$FK$44</definedName>
    <definedName name="_xlnm.Print_Area" localSheetId="4">'DONNEES QUANTITATIVES'!$A$1:$FQ$44</definedName>
    <definedName name="_xlnm.Print_Area" localSheetId="6">RAPPORT!$A$1:$B$772</definedName>
    <definedName name="_xlnm.Print_Area" localSheetId="3">'STAT GOGOUNOU'!$A$1:$G$35</definedName>
    <definedName name="_xlnm.Print_Area" localSheetId="5">'SYNTHE AUTO EVA'!$A$1:$AG$26</definedName>
  </definedNames>
  <calcPr calcId="145621"/>
</workbook>
</file>

<file path=xl/calcChain.xml><?xml version="1.0" encoding="utf-8"?>
<calcChain xmlns="http://schemas.openxmlformats.org/spreadsheetml/2006/main">
  <c r="AG13" i="7" l="1"/>
  <c r="AG14" i="7"/>
  <c r="AG15" i="7"/>
  <c r="AG16" i="7"/>
  <c r="AG17" i="7"/>
  <c r="AG18" i="7"/>
  <c r="AG19" i="7"/>
  <c r="AG20" i="7"/>
  <c r="AG21" i="7"/>
  <c r="AG22" i="7"/>
  <c r="AG23" i="7"/>
  <c r="AG24" i="7"/>
  <c r="AG25" i="7"/>
  <c r="AG26" i="7"/>
  <c r="AG12" i="7"/>
  <c r="AC13" i="7"/>
  <c r="AC14" i="7"/>
  <c r="AC15" i="7"/>
  <c r="AC16" i="7"/>
  <c r="AC17" i="7"/>
  <c r="AC18" i="7"/>
  <c r="AC19" i="7"/>
  <c r="AC20" i="7"/>
  <c r="AC21" i="7"/>
  <c r="AC22" i="7"/>
  <c r="AC23" i="7"/>
  <c r="AC24" i="7"/>
  <c r="AC25" i="7"/>
  <c r="AC26" i="7"/>
  <c r="AC12" i="7"/>
  <c r="V26" i="7"/>
  <c r="V13" i="7"/>
  <c r="V14" i="7"/>
  <c r="V15" i="7"/>
  <c r="V16" i="7"/>
  <c r="V17" i="7"/>
  <c r="V18" i="7"/>
  <c r="V19" i="7"/>
  <c r="V20" i="7"/>
  <c r="V21" i="7"/>
  <c r="V22" i="7"/>
  <c r="V23" i="7"/>
  <c r="V24" i="7"/>
  <c r="V25" i="7"/>
  <c r="V12" i="7"/>
  <c r="Q13" i="7"/>
  <c r="Q14" i="7"/>
  <c r="Q15" i="7"/>
  <c r="Q16" i="7"/>
  <c r="Q17" i="7"/>
  <c r="Q18" i="7"/>
  <c r="Q19" i="7"/>
  <c r="Q20" i="7"/>
  <c r="Q21" i="7"/>
  <c r="Q22" i="7"/>
  <c r="Q23" i="7"/>
  <c r="Q24" i="7"/>
  <c r="Q25" i="7"/>
  <c r="Q26" i="7"/>
  <c r="Q12" i="7"/>
  <c r="M13" i="7"/>
  <c r="M14" i="7"/>
  <c r="M15" i="7"/>
  <c r="M16" i="7"/>
  <c r="M17" i="7"/>
  <c r="M18" i="7"/>
  <c r="M19" i="7"/>
  <c r="M20" i="7"/>
  <c r="M21" i="7"/>
  <c r="M22" i="7"/>
  <c r="M23" i="7"/>
  <c r="M24" i="7"/>
  <c r="M25" i="7"/>
  <c r="M26" i="7"/>
  <c r="M12" i="7"/>
  <c r="I13" i="7"/>
  <c r="I14" i="7"/>
  <c r="I15" i="7"/>
  <c r="I16" i="7"/>
  <c r="I17" i="7"/>
  <c r="I18" i="7"/>
  <c r="I19" i="7"/>
  <c r="I20" i="7"/>
  <c r="I21" i="7"/>
  <c r="I22" i="7"/>
  <c r="I23" i="7"/>
  <c r="I24" i="7"/>
  <c r="I25" i="7"/>
  <c r="I26" i="7"/>
  <c r="I12" i="7"/>
  <c r="AE11" i="7"/>
  <c r="AE6" i="7"/>
  <c r="AE5" i="7" s="1"/>
  <c r="AF6" i="7"/>
  <c r="AF5" i="7" s="1"/>
  <c r="Z6" i="7"/>
  <c r="Z5" i="7" s="1"/>
  <c r="AA6" i="7"/>
  <c r="AA5" i="7" s="1"/>
  <c r="Z11" i="7"/>
  <c r="AA11" i="7"/>
  <c r="O6" i="7"/>
  <c r="O5" i="7" s="1"/>
  <c r="P6" i="7"/>
  <c r="P5" i="7" s="1"/>
  <c r="O7" i="7"/>
  <c r="O11" i="7"/>
  <c r="P11" i="7"/>
  <c r="F6" i="7"/>
  <c r="F5" i="7" s="1"/>
  <c r="G6" i="7"/>
  <c r="G5" i="7" s="1"/>
  <c r="H6" i="7"/>
  <c r="H5" i="7" s="1"/>
  <c r="F11" i="7"/>
  <c r="G11" i="7"/>
  <c r="H11" i="7"/>
  <c r="C11" i="18"/>
  <c r="X6" i="7"/>
  <c r="X5" i="7" s="1"/>
  <c r="Y6" i="7"/>
  <c r="Y5" i="7" s="1"/>
  <c r="AB6" i="7"/>
  <c r="AB5" i="7" s="1"/>
  <c r="X11" i="7"/>
  <c r="Y11" i="7"/>
  <c r="AB11" i="7"/>
  <c r="S6" i="7"/>
  <c r="S5" i="7" s="1"/>
  <c r="S11" i="7"/>
  <c r="T6" i="7"/>
  <c r="T5" i="7" s="1"/>
  <c r="U6" i="7"/>
  <c r="U5" i="7" s="1"/>
  <c r="T11" i="7"/>
  <c r="U11" i="7"/>
  <c r="L6" i="7"/>
  <c r="L5" i="7" s="1"/>
  <c r="L11" i="7"/>
  <c r="P7" i="7" l="1"/>
  <c r="AF7" i="7"/>
  <c r="AA7" i="7"/>
  <c r="AE7" i="7"/>
  <c r="AE8" i="7"/>
  <c r="AE9" i="7"/>
  <c r="AE10" i="7"/>
  <c r="AF8" i="7"/>
  <c r="AF9" i="7"/>
  <c r="AF10" i="7"/>
  <c r="Z7" i="7"/>
  <c r="Y7" i="7"/>
  <c r="Z8" i="7"/>
  <c r="Z9" i="7"/>
  <c r="Z10" i="7"/>
  <c r="AA8" i="7"/>
  <c r="AA9" i="7"/>
  <c r="AA10" i="7"/>
  <c r="T7" i="7"/>
  <c r="P8" i="7"/>
  <c r="P9" i="7"/>
  <c r="P10" i="7"/>
  <c r="O8" i="7"/>
  <c r="O9" i="7"/>
  <c r="O10" i="7"/>
  <c r="G7" i="7"/>
  <c r="H7" i="7"/>
  <c r="F7" i="7"/>
  <c r="H8" i="7"/>
  <c r="H10" i="7"/>
  <c r="H9" i="7"/>
  <c r="F8" i="7"/>
  <c r="F10" i="7"/>
  <c r="F9" i="7"/>
  <c r="G9" i="7"/>
  <c r="G8" i="7"/>
  <c r="G10" i="7"/>
  <c r="AB8" i="7"/>
  <c r="AB10" i="7"/>
  <c r="AB9" i="7"/>
  <c r="X8" i="7"/>
  <c r="X10" i="7"/>
  <c r="X9" i="7"/>
  <c r="Y9" i="7"/>
  <c r="Y8" i="7"/>
  <c r="Y10" i="7"/>
  <c r="AB7" i="7"/>
  <c r="X7" i="7"/>
  <c r="U7" i="7"/>
  <c r="S9" i="7"/>
  <c r="S8" i="7"/>
  <c r="S10" i="7"/>
  <c r="S7" i="7"/>
  <c r="T8" i="7"/>
  <c r="T9" i="7"/>
  <c r="T10" i="7"/>
  <c r="U8" i="7"/>
  <c r="U9" i="7"/>
  <c r="U10" i="7"/>
  <c r="L8" i="7"/>
  <c r="L10" i="7"/>
  <c r="L9" i="7"/>
  <c r="L7" i="7"/>
  <c r="K6" i="7"/>
  <c r="K5" i="7" s="1"/>
  <c r="K11" i="7"/>
  <c r="K7" i="7" l="1"/>
  <c r="K9" i="7"/>
  <c r="K8" i="7"/>
  <c r="K10" i="7"/>
  <c r="DR10" i="5"/>
  <c r="DR9" i="5"/>
  <c r="AM18" i="5" l="1"/>
  <c r="BE17" i="5"/>
  <c r="FE22" i="5"/>
  <c r="FE21" i="5"/>
  <c r="FE20" i="5"/>
  <c r="FE19" i="5"/>
  <c r="FE18" i="5"/>
  <c r="FJ17" i="5"/>
  <c r="FJ18" i="5"/>
  <c r="FJ19" i="5"/>
  <c r="FJ20" i="5"/>
  <c r="FJ21" i="5"/>
  <c r="FJ22" i="5"/>
  <c r="FE17" i="5"/>
  <c r="FE13" i="5"/>
  <c r="FE14" i="5"/>
  <c r="FE15" i="5"/>
  <c r="FE16" i="5"/>
  <c r="FJ27" i="5"/>
  <c r="FE27" i="5"/>
  <c r="AM27" i="5"/>
  <c r="H27" i="5"/>
  <c r="FJ26" i="5"/>
  <c r="FE26" i="5"/>
  <c r="BN26" i="5"/>
  <c r="AM26" i="5"/>
  <c r="H26" i="5"/>
  <c r="FJ25" i="5"/>
  <c r="FE25" i="5"/>
  <c r="DU25" i="5"/>
  <c r="H25" i="5"/>
  <c r="FJ24" i="5"/>
  <c r="FE24" i="5"/>
  <c r="H24" i="5"/>
  <c r="F24" i="5"/>
  <c r="FJ23" i="5"/>
  <c r="FE23" i="5"/>
  <c r="CU5" i="5"/>
  <c r="CV5" i="5"/>
  <c r="CV8" i="5" s="1"/>
  <c r="B382" i="1" s="1"/>
  <c r="CW5" i="5"/>
  <c r="CX5" i="5"/>
  <c r="CX8" i="5" s="1"/>
  <c r="B390" i="1" s="1"/>
  <c r="CY5" i="5"/>
  <c r="CZ5" i="5"/>
  <c r="CZ8" i="5" s="1"/>
  <c r="DA5" i="5"/>
  <c r="DB5" i="5"/>
  <c r="DB9" i="5" s="1"/>
  <c r="B395" i="1" s="1"/>
  <c r="DC5" i="5"/>
  <c r="DC8" i="5" s="1"/>
  <c r="DD5" i="5"/>
  <c r="DD8" i="5" s="1"/>
  <c r="DE5" i="5"/>
  <c r="DE8" i="5" s="1"/>
  <c r="DF5" i="5"/>
  <c r="DF9" i="5" s="1"/>
  <c r="B398" i="1" s="1"/>
  <c r="DG5" i="5"/>
  <c r="DG8" i="5" s="1"/>
  <c r="DH5" i="5"/>
  <c r="DH8" i="5" s="1"/>
  <c r="DI5" i="5"/>
  <c r="DI8" i="5" s="1"/>
  <c r="DJ5" i="5"/>
  <c r="DJ9" i="5" s="1"/>
  <c r="CU6" i="5"/>
  <c r="CU7" i="5" s="1"/>
  <c r="CV6" i="5"/>
  <c r="CV7" i="5" s="1"/>
  <c r="CW6" i="5"/>
  <c r="CW7" i="5" s="1"/>
  <c r="CX6" i="5"/>
  <c r="CX7" i="5" s="1"/>
  <c r="CY6" i="5"/>
  <c r="CY7" i="5" s="1"/>
  <c r="CZ6" i="5"/>
  <c r="CZ7" i="5" s="1"/>
  <c r="DA6" i="5"/>
  <c r="DA7" i="5" s="1"/>
  <c r="DB6" i="5"/>
  <c r="DB7" i="5" s="1"/>
  <c r="DC6" i="5"/>
  <c r="DD6" i="5"/>
  <c r="DD7" i="5" s="1"/>
  <c r="DE6" i="5"/>
  <c r="DF6" i="5"/>
  <c r="DF7" i="5" s="1"/>
  <c r="DG6" i="5"/>
  <c r="DH6" i="5"/>
  <c r="DH7" i="5" s="1"/>
  <c r="DI6" i="5"/>
  <c r="DI7" i="5" s="1"/>
  <c r="DJ6" i="5"/>
  <c r="DJ7" i="5" s="1"/>
  <c r="DC7" i="5"/>
  <c r="DE7" i="5"/>
  <c r="DG7" i="5"/>
  <c r="CU8" i="5"/>
  <c r="B375" i="1" s="1"/>
  <c r="CW8" i="5"/>
  <c r="B386" i="1" s="1"/>
  <c r="CY8" i="5"/>
  <c r="DA8" i="5"/>
  <c r="B378" i="1" s="1"/>
  <c r="DB8" i="5"/>
  <c r="B394" i="1" s="1"/>
  <c r="DF8" i="5"/>
  <c r="B397" i="1" s="1"/>
  <c r="DJ8" i="5"/>
  <c r="CU9" i="5"/>
  <c r="B376" i="1" s="1"/>
  <c r="CW9" i="5"/>
  <c r="B387" i="1" s="1"/>
  <c r="CY9" i="5"/>
  <c r="DA9" i="5"/>
  <c r="B379" i="1" s="1"/>
  <c r="DD9" i="5"/>
  <c r="DH9" i="5"/>
  <c r="CU10" i="5"/>
  <c r="B377" i="1" s="1"/>
  <c r="CW10" i="5"/>
  <c r="B388" i="1" s="1"/>
  <c r="CY10" i="5"/>
  <c r="DA10" i="5"/>
  <c r="B380" i="1" s="1"/>
  <c r="DB10" i="5"/>
  <c r="B396" i="1" s="1"/>
  <c r="DF10" i="5"/>
  <c r="B399" i="1" s="1"/>
  <c r="DJ10" i="5"/>
  <c r="BX25" i="5"/>
  <c r="BY25" i="5" s="1"/>
  <c r="BX23" i="5"/>
  <c r="BY23" i="5" s="1"/>
  <c r="BE25" i="5"/>
  <c r="BF25" i="5" s="1"/>
  <c r="BF26" i="5"/>
  <c r="BF27" i="5"/>
  <c r="BE23" i="5"/>
  <c r="BF23" i="5" s="1"/>
  <c r="AM23" i="5"/>
  <c r="H23" i="5"/>
  <c r="X13" i="5"/>
  <c r="AC5" i="5"/>
  <c r="AD5" i="5"/>
  <c r="AE5" i="5"/>
  <c r="AF5" i="5"/>
  <c r="AG5" i="5"/>
  <c r="AC6" i="5"/>
  <c r="AC7" i="5" s="1"/>
  <c r="AD6" i="5"/>
  <c r="AE6" i="5"/>
  <c r="AE7" i="5" s="1"/>
  <c r="AF6" i="5"/>
  <c r="AF7" i="5" s="1"/>
  <c r="AG6" i="5"/>
  <c r="AG7" i="5" s="1"/>
  <c r="AD7" i="5"/>
  <c r="FH22" i="5"/>
  <c r="EY22" i="5"/>
  <c r="EM22" i="5"/>
  <c r="EK22" i="5"/>
  <c r="DU22" i="5"/>
  <c r="CP22" i="5"/>
  <c r="AM22" i="5"/>
  <c r="AN22" i="5" s="1"/>
  <c r="AO22" i="5" s="1"/>
  <c r="X22" i="5"/>
  <c r="AJ22" i="5" s="1"/>
  <c r="V22" i="5"/>
  <c r="T22" i="5"/>
  <c r="R22" i="5"/>
  <c r="P22" i="5"/>
  <c r="N22" i="5"/>
  <c r="L22" i="5"/>
  <c r="J22" i="5"/>
  <c r="H22" i="5"/>
  <c r="F22" i="5"/>
  <c r="FH21" i="5"/>
  <c r="EY21" i="5"/>
  <c r="EM21" i="5"/>
  <c r="EK21" i="5"/>
  <c r="DU21" i="5"/>
  <c r="CP21" i="5"/>
  <c r="BD21" i="5"/>
  <c r="BE21" i="5" s="1"/>
  <c r="BF21" i="5" s="1"/>
  <c r="AM21" i="5"/>
  <c r="AN21" i="5" s="1"/>
  <c r="AO21" i="5" s="1"/>
  <c r="X21" i="5"/>
  <c r="AJ21" i="5" s="1"/>
  <c r="AZ21" i="5" s="1"/>
  <c r="V21" i="5"/>
  <c r="T21" i="5"/>
  <c r="R21" i="5"/>
  <c r="P21" i="5"/>
  <c r="N21" i="5"/>
  <c r="L21" i="5"/>
  <c r="J21" i="5"/>
  <c r="H21" i="5"/>
  <c r="F21" i="5"/>
  <c r="FH20" i="5"/>
  <c r="EY20" i="5"/>
  <c r="EM20" i="5"/>
  <c r="EK20" i="5"/>
  <c r="DU20" i="5"/>
  <c r="CP20" i="5"/>
  <c r="AM20" i="5"/>
  <c r="AN20" i="5" s="1"/>
  <c r="AO20" i="5" s="1"/>
  <c r="X20" i="5"/>
  <c r="AJ20" i="5" s="1"/>
  <c r="V20" i="5"/>
  <c r="T20" i="5"/>
  <c r="R20" i="5"/>
  <c r="P20" i="5"/>
  <c r="N20" i="5"/>
  <c r="L20" i="5"/>
  <c r="J20" i="5"/>
  <c r="H20" i="5"/>
  <c r="F20" i="5"/>
  <c r="FH19" i="5"/>
  <c r="EY19" i="5"/>
  <c r="EM19" i="5"/>
  <c r="EK19" i="5"/>
  <c r="DU19" i="5"/>
  <c r="CP19" i="5"/>
  <c r="BE19" i="5"/>
  <c r="BF19" i="5" s="1"/>
  <c r="AM19" i="5"/>
  <c r="AN19" i="5" s="1"/>
  <c r="AO19" i="5" s="1"/>
  <c r="X19" i="5"/>
  <c r="AJ19" i="5" s="1"/>
  <c r="V19" i="5"/>
  <c r="T19" i="5"/>
  <c r="R19" i="5"/>
  <c r="P19" i="5"/>
  <c r="N19" i="5"/>
  <c r="L19" i="5"/>
  <c r="J19" i="5"/>
  <c r="H19" i="5"/>
  <c r="F19" i="5"/>
  <c r="FH18" i="5"/>
  <c r="EM18" i="5"/>
  <c r="EK18" i="5"/>
  <c r="DU18" i="5"/>
  <c r="CP18" i="5"/>
  <c r="AN18" i="5"/>
  <c r="AO18" i="5" s="1"/>
  <c r="X18" i="5"/>
  <c r="AJ18" i="5" s="1"/>
  <c r="V18" i="5"/>
  <c r="T18" i="5"/>
  <c r="R18" i="5"/>
  <c r="P18" i="5"/>
  <c r="N18" i="5"/>
  <c r="L18" i="5"/>
  <c r="J18" i="5"/>
  <c r="H18" i="5"/>
  <c r="F18" i="5"/>
  <c r="FH17" i="5"/>
  <c r="EY17" i="5"/>
  <c r="EM17" i="5"/>
  <c r="EK17" i="5"/>
  <c r="DU17" i="5"/>
  <c r="CP17" i="5"/>
  <c r="BF17" i="5"/>
  <c r="AM17" i="5"/>
  <c r="AN17" i="5" s="1"/>
  <c r="AO17" i="5" s="1"/>
  <c r="X17" i="5"/>
  <c r="AJ17" i="5" s="1"/>
  <c r="AZ17" i="5" s="1"/>
  <c r="V17" i="5"/>
  <c r="T17" i="5"/>
  <c r="R17" i="5"/>
  <c r="P17" i="5"/>
  <c r="N17" i="5"/>
  <c r="L17" i="5"/>
  <c r="J17" i="5"/>
  <c r="F17" i="5"/>
  <c r="FJ16" i="5"/>
  <c r="FH16" i="5"/>
  <c r="EY16" i="5"/>
  <c r="EM16" i="5"/>
  <c r="EK16" i="5"/>
  <c r="DU16" i="5"/>
  <c r="CP16" i="5"/>
  <c r="CM16" i="5"/>
  <c r="BF16" i="5"/>
  <c r="AM16" i="5"/>
  <c r="AN16" i="5" s="1"/>
  <c r="AO16" i="5" s="1"/>
  <c r="X16" i="5"/>
  <c r="AJ16" i="5" s="1"/>
  <c r="AZ16" i="5" s="1"/>
  <c r="V16" i="5"/>
  <c r="T16" i="5"/>
  <c r="R16" i="5"/>
  <c r="P16" i="5"/>
  <c r="N16" i="5"/>
  <c r="L16" i="5"/>
  <c r="J16" i="5"/>
  <c r="H16" i="5"/>
  <c r="FJ15" i="5"/>
  <c r="FH15" i="5"/>
  <c r="EY15" i="5"/>
  <c r="EM15" i="5"/>
  <c r="EK15" i="5"/>
  <c r="DU15" i="5"/>
  <c r="CP15" i="5"/>
  <c r="BF15" i="5"/>
  <c r="AM15" i="5"/>
  <c r="AN15" i="5" s="1"/>
  <c r="AO15" i="5" s="1"/>
  <c r="X15" i="5"/>
  <c r="AJ15" i="5" s="1"/>
  <c r="V15" i="5"/>
  <c r="T15" i="5"/>
  <c r="R15" i="5"/>
  <c r="P15" i="5"/>
  <c r="N15" i="5"/>
  <c r="L15" i="5"/>
  <c r="J15" i="5"/>
  <c r="F15" i="5"/>
  <c r="FJ14" i="5"/>
  <c r="FH14" i="5"/>
  <c r="EM14" i="5"/>
  <c r="EK14" i="5"/>
  <c r="DU14" i="5"/>
  <c r="CP14" i="5"/>
  <c r="CM14" i="5"/>
  <c r="BF14" i="5"/>
  <c r="AM14" i="5"/>
  <c r="AN14" i="5" s="1"/>
  <c r="AO14" i="5" s="1"/>
  <c r="X14" i="5"/>
  <c r="AJ14" i="5" s="1"/>
  <c r="AZ14" i="5" s="1"/>
  <c r="V14" i="5"/>
  <c r="T14" i="5"/>
  <c r="R14" i="5"/>
  <c r="P14" i="5"/>
  <c r="N14" i="5"/>
  <c r="L14" i="5"/>
  <c r="J14" i="5"/>
  <c r="F14" i="5"/>
  <c r="FH13" i="5"/>
  <c r="EM13" i="5"/>
  <c r="EK13" i="5"/>
  <c r="DU13" i="5"/>
  <c r="CP13" i="5"/>
  <c r="BF13" i="5"/>
  <c r="AM13" i="5"/>
  <c r="AN13" i="5" s="1"/>
  <c r="AO13" i="5" s="1"/>
  <c r="AJ13" i="5"/>
  <c r="V13" i="5"/>
  <c r="T13" i="5"/>
  <c r="R13" i="5"/>
  <c r="P13" i="5"/>
  <c r="N13" i="5"/>
  <c r="L13" i="5"/>
  <c r="J13" i="5"/>
  <c r="F13" i="5"/>
  <c r="DH10" i="5" l="1"/>
  <c r="DD10" i="5"/>
  <c r="DI9" i="5"/>
  <c r="DG9" i="5"/>
  <c r="DE9" i="5"/>
  <c r="DC9" i="5"/>
  <c r="CZ9" i="5"/>
  <c r="CX9" i="5"/>
  <c r="B391" i="1" s="1"/>
  <c r="CV9" i="5"/>
  <c r="B383" i="1" s="1"/>
  <c r="DI10" i="5"/>
  <c r="DG10" i="5"/>
  <c r="DE10" i="5"/>
  <c r="DC10" i="5"/>
  <c r="CZ10" i="5"/>
  <c r="CX10" i="5"/>
  <c r="B392" i="1" s="1"/>
  <c r="CV10" i="5"/>
  <c r="B384" i="1" s="1"/>
  <c r="BS14" i="5"/>
  <c r="BG14" i="5"/>
  <c r="BS16" i="5"/>
  <c r="BG16" i="5"/>
  <c r="BG17" i="5"/>
  <c r="BS17" i="5"/>
  <c r="AP20" i="5"/>
  <c r="AZ20" i="5"/>
  <c r="BG21" i="5"/>
  <c r="BS21" i="5"/>
  <c r="AP13" i="5"/>
  <c r="AZ13" i="5"/>
  <c r="AP15" i="5"/>
  <c r="AZ15" i="5"/>
  <c r="AP18" i="5"/>
  <c r="AZ18" i="5"/>
  <c r="AP19" i="5"/>
  <c r="AZ19" i="5"/>
  <c r="AP22" i="5"/>
  <c r="AZ22" i="5"/>
  <c r="AP14" i="5"/>
  <c r="AP16" i="5"/>
  <c r="AP17" i="5"/>
  <c r="AP21" i="5"/>
  <c r="CI16" i="5" l="1"/>
  <c r="EH16" i="5"/>
  <c r="BZ16" i="5"/>
  <c r="CI14" i="5"/>
  <c r="EH14" i="5"/>
  <c r="BZ14" i="5"/>
  <c r="BS22" i="5"/>
  <c r="BG22" i="5"/>
  <c r="BG19" i="5"/>
  <c r="BS19" i="5"/>
  <c r="BS18" i="5"/>
  <c r="BG18" i="5"/>
  <c r="BG15" i="5"/>
  <c r="BS15" i="5"/>
  <c r="BS13" i="5"/>
  <c r="BG13" i="5"/>
  <c r="BZ21" i="5"/>
  <c r="EH21" i="5"/>
  <c r="CI21" i="5"/>
  <c r="BS20" i="5"/>
  <c r="BG20" i="5"/>
  <c r="BZ17" i="5"/>
  <c r="EH17" i="5"/>
  <c r="CI17" i="5"/>
  <c r="EB17" i="5" l="1"/>
  <c r="FA17" i="5"/>
  <c r="FL17" i="5" s="1"/>
  <c r="CS21" i="5"/>
  <c r="DM21" i="5" s="1"/>
  <c r="DS21" i="5" s="1"/>
  <c r="CL21" i="5"/>
  <c r="EH13" i="5"/>
  <c r="CI13" i="5"/>
  <c r="BZ13" i="5"/>
  <c r="EH18" i="5"/>
  <c r="CI18" i="5"/>
  <c r="BZ18" i="5"/>
  <c r="EH22" i="5"/>
  <c r="CI22" i="5"/>
  <c r="BZ22" i="5"/>
  <c r="FA14" i="5"/>
  <c r="FL14" i="5" s="1"/>
  <c r="EB14" i="5"/>
  <c r="CS16" i="5"/>
  <c r="DM16" i="5" s="1"/>
  <c r="DS16" i="5" s="1"/>
  <c r="CL16" i="5"/>
  <c r="CS17" i="5"/>
  <c r="DM17" i="5" s="1"/>
  <c r="DS17" i="5" s="1"/>
  <c r="CL17" i="5"/>
  <c r="EH20" i="5"/>
  <c r="CI20" i="5"/>
  <c r="BZ20" i="5"/>
  <c r="EB21" i="5"/>
  <c r="FA21" i="5"/>
  <c r="FL21" i="5" s="1"/>
  <c r="BZ15" i="5"/>
  <c r="EH15" i="5"/>
  <c r="CI15" i="5"/>
  <c r="BZ19" i="5"/>
  <c r="EH19" i="5"/>
  <c r="CI19" i="5"/>
  <c r="CS14" i="5"/>
  <c r="DM14" i="5" s="1"/>
  <c r="DS14" i="5" s="1"/>
  <c r="CL14" i="5"/>
  <c r="EB16" i="5"/>
  <c r="FA16" i="5"/>
  <c r="FL16" i="5" s="1"/>
  <c r="EB19" i="5" l="1"/>
  <c r="FA19" i="5"/>
  <c r="FL19" i="5" s="1"/>
  <c r="CS15" i="5"/>
  <c r="DM15" i="5" s="1"/>
  <c r="DS15" i="5" s="1"/>
  <c r="CL15" i="5"/>
  <c r="CS20" i="5"/>
  <c r="DM20" i="5" s="1"/>
  <c r="DS20" i="5" s="1"/>
  <c r="CL20" i="5"/>
  <c r="FA22" i="5"/>
  <c r="FL22" i="5" s="1"/>
  <c r="EB22" i="5"/>
  <c r="CS18" i="5"/>
  <c r="DM18" i="5" s="1"/>
  <c r="DS18" i="5" s="1"/>
  <c r="CL18" i="5"/>
  <c r="FA13" i="5"/>
  <c r="FL13" i="5" s="1"/>
  <c r="EB13" i="5"/>
  <c r="CS19" i="5"/>
  <c r="DM19" i="5" s="1"/>
  <c r="DS19" i="5" s="1"/>
  <c r="CL19" i="5"/>
  <c r="EB15" i="5"/>
  <c r="FA15" i="5"/>
  <c r="FL15" i="5" s="1"/>
  <c r="FA20" i="5"/>
  <c r="FL20" i="5" s="1"/>
  <c r="EB20" i="5"/>
  <c r="CS22" i="5"/>
  <c r="DM22" i="5" s="1"/>
  <c r="DS22" i="5" s="1"/>
  <c r="CL22" i="5"/>
  <c r="FA18" i="5"/>
  <c r="FL18" i="5" s="1"/>
  <c r="EB18" i="5"/>
  <c r="CS13" i="5"/>
  <c r="DM13" i="5" s="1"/>
  <c r="DS13" i="5" s="1"/>
  <c r="CL13" i="5"/>
  <c r="E11" i="7" l="1"/>
  <c r="J11" i="7"/>
  <c r="N11" i="7"/>
  <c r="R11" i="7"/>
  <c r="W11" i="7"/>
  <c r="AD11" i="7"/>
  <c r="AF11" i="7"/>
  <c r="I11" i="7"/>
  <c r="DU23" i="5"/>
  <c r="DU24" i="5"/>
  <c r="DU26" i="5"/>
  <c r="DU27" i="5"/>
  <c r="FB11" i="5"/>
  <c r="FB10" i="5"/>
  <c r="FB8" i="5"/>
  <c r="FB9" i="5"/>
  <c r="B45" i="1"/>
  <c r="B43" i="1"/>
  <c r="B41" i="1"/>
  <c r="G30" i="18"/>
  <c r="F30" i="18"/>
  <c r="E30" i="18"/>
  <c r="D30" i="18"/>
  <c r="C30" i="18"/>
  <c r="G10" i="18"/>
  <c r="G12" i="18" s="1"/>
  <c r="F10" i="18"/>
  <c r="F12" i="18" s="1"/>
  <c r="E10" i="18"/>
  <c r="E12" i="18" s="1"/>
  <c r="B46" i="1" s="1"/>
  <c r="D10" i="18"/>
  <c r="D12" i="18" s="1"/>
  <c r="B44" i="1" s="1"/>
  <c r="C10" i="18"/>
  <c r="C12" i="18" s="1"/>
  <c r="B42" i="1" s="1"/>
  <c r="G9" i="18"/>
  <c r="F9" i="18"/>
  <c r="E9" i="18"/>
  <c r="B61" i="1" s="1"/>
  <c r="D9" i="18"/>
  <c r="G8" i="18"/>
  <c r="F8" i="18"/>
  <c r="E8" i="18"/>
  <c r="B60" i="1" s="1"/>
  <c r="D8" i="18"/>
  <c r="G7" i="18"/>
  <c r="F7" i="18"/>
  <c r="E7" i="18"/>
  <c r="B59" i="1" s="1"/>
  <c r="D7" i="18"/>
  <c r="Q11" i="7"/>
  <c r="FN8" i="5"/>
  <c r="FO8" i="5"/>
  <c r="FP8" i="5"/>
  <c r="FQ8" i="5"/>
  <c r="FN9" i="5"/>
  <c r="FO9" i="5"/>
  <c r="FP9" i="5"/>
  <c r="FQ9" i="5"/>
  <c r="FN10" i="5"/>
  <c r="FO10" i="5"/>
  <c r="FP10" i="5"/>
  <c r="FQ10" i="5"/>
  <c r="FN11" i="5"/>
  <c r="FO11" i="5"/>
  <c r="FP11" i="5"/>
  <c r="FQ11" i="5"/>
  <c r="FM9" i="5"/>
  <c r="FM8" i="5"/>
  <c r="FM10" i="5"/>
  <c r="FM5" i="5"/>
  <c r="B402" i="1" s="1"/>
  <c r="M11" i="7" l="1"/>
  <c r="AC11" i="7"/>
  <c r="V11" i="7"/>
  <c r="AG11" i="7"/>
  <c r="DU9" i="5"/>
  <c r="DU8" i="5"/>
  <c r="FH27" i="5" l="1"/>
  <c r="EY27" i="5"/>
  <c r="EK27" i="5"/>
  <c r="CP27" i="5"/>
  <c r="AN27" i="5"/>
  <c r="AO27" i="5" s="1"/>
  <c r="X27" i="5"/>
  <c r="AJ27" i="5" s="1"/>
  <c r="V27" i="5"/>
  <c r="T27" i="5"/>
  <c r="R27" i="5"/>
  <c r="P27" i="5"/>
  <c r="N27" i="5"/>
  <c r="L27" i="5"/>
  <c r="J27" i="5"/>
  <c r="F27" i="5"/>
  <c r="FH26" i="5"/>
  <c r="EY26" i="5"/>
  <c r="EM26" i="5"/>
  <c r="EK26" i="5"/>
  <c r="CP26" i="5"/>
  <c r="AN26" i="5"/>
  <c r="AO26" i="5" s="1"/>
  <c r="X26" i="5"/>
  <c r="AJ26" i="5" s="1"/>
  <c r="AP26" i="5" s="1"/>
  <c r="V26" i="5"/>
  <c r="T26" i="5"/>
  <c r="R26" i="5"/>
  <c r="P26" i="5"/>
  <c r="N26" i="5"/>
  <c r="L26" i="5"/>
  <c r="J26" i="5"/>
  <c r="F26" i="5"/>
  <c r="FH25" i="5"/>
  <c r="EM25" i="5"/>
  <c r="EK25" i="5"/>
  <c r="CP25" i="5"/>
  <c r="AN25" i="5"/>
  <c r="AO25" i="5" s="1"/>
  <c r="X25" i="5"/>
  <c r="AJ25" i="5" s="1"/>
  <c r="V25" i="5"/>
  <c r="T25" i="5"/>
  <c r="R25" i="5"/>
  <c r="P25" i="5"/>
  <c r="N25" i="5"/>
  <c r="L25" i="5"/>
  <c r="J25" i="5"/>
  <c r="F25" i="5"/>
  <c r="FH24" i="5"/>
  <c r="EY24" i="5"/>
  <c r="EM24" i="5"/>
  <c r="EK24" i="5"/>
  <c r="CP24" i="5"/>
  <c r="BX24" i="5"/>
  <c r="BY24" i="5" s="1"/>
  <c r="BE24" i="5"/>
  <c r="BF24" i="5" s="1"/>
  <c r="AN24" i="5"/>
  <c r="AO24" i="5" s="1"/>
  <c r="X24" i="5"/>
  <c r="AJ24" i="5" s="1"/>
  <c r="V24" i="5"/>
  <c r="T24" i="5"/>
  <c r="R24" i="5"/>
  <c r="P24" i="5"/>
  <c r="N24" i="5"/>
  <c r="L24" i="5"/>
  <c r="J24" i="5"/>
  <c r="FH23" i="5"/>
  <c r="EM23" i="5"/>
  <c r="EK23" i="5"/>
  <c r="CP23" i="5"/>
  <c r="AN23" i="5"/>
  <c r="AO23" i="5" s="1"/>
  <c r="X23" i="5"/>
  <c r="AJ23" i="5" s="1"/>
  <c r="AP23" i="5" s="1"/>
  <c r="V23" i="5"/>
  <c r="T23" i="5"/>
  <c r="R23" i="5"/>
  <c r="P23" i="5"/>
  <c r="N23" i="5"/>
  <c r="L23" i="5"/>
  <c r="J23" i="5"/>
  <c r="F23" i="5"/>
  <c r="ER27" i="14"/>
  <c r="ER26" i="14"/>
  <c r="ER24" i="14"/>
  <c r="ER22" i="14"/>
  <c r="ER21" i="14"/>
  <c r="ER20" i="14"/>
  <c r="ER19" i="14"/>
  <c r="ER17" i="14"/>
  <c r="ER16" i="14"/>
  <c r="ER15" i="14"/>
  <c r="ER10" i="14" s="1"/>
  <c r="EQ11" i="14"/>
  <c r="EQ10" i="14"/>
  <c r="EQ9" i="14"/>
  <c r="EQ8" i="14"/>
  <c r="EQ6" i="14"/>
  <c r="EQ7" i="14" s="1"/>
  <c r="EQ5" i="14"/>
  <c r="BU11" i="14"/>
  <c r="BU10" i="14"/>
  <c r="BU9" i="14"/>
  <c r="BU8" i="14"/>
  <c r="BU6" i="14"/>
  <c r="BU7" i="14" s="1"/>
  <c r="BU5" i="14"/>
  <c r="F27" i="14"/>
  <c r="F26" i="14"/>
  <c r="F25" i="14"/>
  <c r="F24" i="14"/>
  <c r="F23" i="14"/>
  <c r="F21" i="14"/>
  <c r="F20" i="14"/>
  <c r="F19" i="14"/>
  <c r="F18" i="14"/>
  <c r="F17" i="14"/>
  <c r="F16" i="14"/>
  <c r="F15" i="14"/>
  <c r="F14" i="14"/>
  <c r="F13" i="14"/>
  <c r="E11" i="14"/>
  <c r="E10" i="14"/>
  <c r="E9" i="14"/>
  <c r="E8" i="14"/>
  <c r="E6" i="14"/>
  <c r="E7" i="14" s="1"/>
  <c r="E5" i="14"/>
  <c r="FB27" i="14"/>
  <c r="EB27" i="14"/>
  <c r="EF27" i="14" s="1"/>
  <c r="CP27" i="14"/>
  <c r="BN27" i="14"/>
  <c r="BE27" i="14"/>
  <c r="BF27" i="14" s="1"/>
  <c r="AN27" i="14"/>
  <c r="AO27" i="14" s="1"/>
  <c r="X27" i="14"/>
  <c r="AJ27" i="14" s="1"/>
  <c r="V27" i="14"/>
  <c r="T27" i="14"/>
  <c r="R27" i="14"/>
  <c r="P27" i="14"/>
  <c r="N27" i="14"/>
  <c r="L27" i="14"/>
  <c r="J27" i="14"/>
  <c r="FB26" i="14"/>
  <c r="EF26" i="14"/>
  <c r="ED26" i="14"/>
  <c r="CP26" i="14"/>
  <c r="BX26" i="14"/>
  <c r="BY26" i="14" s="1"/>
  <c r="BE26" i="14"/>
  <c r="BF26" i="14" s="1"/>
  <c r="AN26" i="14"/>
  <c r="AO26" i="14" s="1"/>
  <c r="X26" i="14"/>
  <c r="AJ26" i="14" s="1"/>
  <c r="AZ26" i="14" s="1"/>
  <c r="V26" i="14"/>
  <c r="T26" i="14"/>
  <c r="R26" i="14"/>
  <c r="P26" i="14"/>
  <c r="N26" i="14"/>
  <c r="L26" i="14"/>
  <c r="J26" i="14"/>
  <c r="FB25" i="14"/>
  <c r="EF25" i="14"/>
  <c r="ED25" i="14"/>
  <c r="CP25" i="14"/>
  <c r="BN25" i="14"/>
  <c r="AN25" i="14"/>
  <c r="AO25" i="14" s="1"/>
  <c r="X25" i="14"/>
  <c r="AJ25" i="14" s="1"/>
  <c r="V25" i="14"/>
  <c r="T25" i="14"/>
  <c r="R25" i="14"/>
  <c r="P25" i="14"/>
  <c r="N25" i="14"/>
  <c r="L25" i="14"/>
  <c r="J25" i="14"/>
  <c r="FB24" i="14"/>
  <c r="EF24" i="14"/>
  <c r="ED24" i="14"/>
  <c r="CP24" i="14"/>
  <c r="BX24" i="14"/>
  <c r="BY24" i="14" s="1"/>
  <c r="BN24" i="14"/>
  <c r="BE24" i="14"/>
  <c r="BF24" i="14" s="1"/>
  <c r="AN24" i="14"/>
  <c r="AO24" i="14" s="1"/>
  <c r="X24" i="14"/>
  <c r="AJ24" i="14" s="1"/>
  <c r="AZ24" i="14" s="1"/>
  <c r="V24" i="14"/>
  <c r="T24" i="14"/>
  <c r="R24" i="14"/>
  <c r="P24" i="14"/>
  <c r="N24" i="14"/>
  <c r="L24" i="14"/>
  <c r="J24" i="14"/>
  <c r="FB23" i="14"/>
  <c r="EF23" i="14"/>
  <c r="ED23" i="14"/>
  <c r="CP23" i="14"/>
  <c r="BN23" i="14"/>
  <c r="AN23" i="14"/>
  <c r="AO23" i="14" s="1"/>
  <c r="X23" i="14"/>
  <c r="AJ23" i="14" s="1"/>
  <c r="V23" i="14"/>
  <c r="T23" i="14"/>
  <c r="R23" i="14"/>
  <c r="P23" i="14"/>
  <c r="N23" i="14"/>
  <c r="L23" i="14"/>
  <c r="J23" i="14"/>
  <c r="FB22" i="14"/>
  <c r="EF22" i="14"/>
  <c r="ED22" i="14"/>
  <c r="CP22" i="14"/>
  <c r="BN22" i="14"/>
  <c r="BE22" i="14"/>
  <c r="BF22" i="14" s="1"/>
  <c r="AN22" i="14"/>
  <c r="AO22" i="14" s="1"/>
  <c r="X22" i="14"/>
  <c r="AJ22" i="14" s="1"/>
  <c r="V22" i="14"/>
  <c r="T22" i="14"/>
  <c r="R22" i="14"/>
  <c r="P22" i="14"/>
  <c r="N22" i="14"/>
  <c r="L22" i="14"/>
  <c r="J22" i="14"/>
  <c r="FB21" i="14"/>
  <c r="EF21" i="14"/>
  <c r="ED21" i="14"/>
  <c r="CP21" i="14"/>
  <c r="BN21" i="14"/>
  <c r="BE21" i="14"/>
  <c r="BF21" i="14" s="1"/>
  <c r="AN21" i="14"/>
  <c r="AO21" i="14" s="1"/>
  <c r="X21" i="14"/>
  <c r="AJ21" i="14" s="1"/>
  <c r="V21" i="14"/>
  <c r="T21" i="14"/>
  <c r="R21" i="14"/>
  <c r="P21" i="14"/>
  <c r="N21" i="14"/>
  <c r="L21" i="14"/>
  <c r="J21" i="14"/>
  <c r="FB20" i="14"/>
  <c r="EF20" i="14"/>
  <c r="ED20" i="14"/>
  <c r="CP20" i="14"/>
  <c r="BE20" i="14"/>
  <c r="BF20" i="14" s="1"/>
  <c r="AN20" i="14"/>
  <c r="AO20" i="14" s="1"/>
  <c r="X20" i="14"/>
  <c r="AJ20" i="14" s="1"/>
  <c r="AP20" i="14" s="1"/>
  <c r="V20" i="14"/>
  <c r="T20" i="14"/>
  <c r="R20" i="14"/>
  <c r="P20" i="14"/>
  <c r="N20" i="14"/>
  <c r="L20" i="14"/>
  <c r="J20" i="14"/>
  <c r="FB19" i="14"/>
  <c r="EF19" i="14"/>
  <c r="ED19" i="14"/>
  <c r="CP19" i="14"/>
  <c r="BE19" i="14"/>
  <c r="BF19" i="14" s="1"/>
  <c r="AM19" i="14"/>
  <c r="AN19" i="14" s="1"/>
  <c r="AO19" i="14" s="1"/>
  <c r="X19" i="14"/>
  <c r="AJ19" i="14" s="1"/>
  <c r="AZ19" i="14" s="1"/>
  <c r="V19" i="14"/>
  <c r="T19" i="14"/>
  <c r="R19" i="14"/>
  <c r="P19" i="14"/>
  <c r="N19" i="14"/>
  <c r="L19" i="14"/>
  <c r="J19" i="14"/>
  <c r="FB18" i="14"/>
  <c r="EF18" i="14"/>
  <c r="ED18" i="14"/>
  <c r="DN18" i="14"/>
  <c r="CP18" i="14"/>
  <c r="BN18" i="14"/>
  <c r="BE18" i="14"/>
  <c r="BF18" i="14" s="1"/>
  <c r="AN18" i="14"/>
  <c r="AO18" i="14" s="1"/>
  <c r="X18" i="14"/>
  <c r="AJ18" i="14" s="1"/>
  <c r="V18" i="14"/>
  <c r="T18" i="14"/>
  <c r="R18" i="14"/>
  <c r="P18" i="14"/>
  <c r="N18" i="14"/>
  <c r="L18" i="14"/>
  <c r="J18" i="14"/>
  <c r="FB17" i="14"/>
  <c r="EF17" i="14"/>
  <c r="ED17" i="14"/>
  <c r="DN17" i="14"/>
  <c r="CP17" i="14"/>
  <c r="BE17" i="14"/>
  <c r="BF17" i="14" s="1"/>
  <c r="AN17" i="14"/>
  <c r="AO17" i="14" s="1"/>
  <c r="X17" i="14"/>
  <c r="AJ17" i="14" s="1"/>
  <c r="V17" i="14"/>
  <c r="T17" i="14"/>
  <c r="R17" i="14"/>
  <c r="P17" i="14"/>
  <c r="N17" i="14"/>
  <c r="L17" i="14"/>
  <c r="J17" i="14"/>
  <c r="FB16" i="14"/>
  <c r="EF16" i="14"/>
  <c r="ED16" i="14"/>
  <c r="CP16" i="14"/>
  <c r="BN16" i="14"/>
  <c r="BE16" i="14"/>
  <c r="BF16" i="14" s="1"/>
  <c r="AN16" i="14"/>
  <c r="AO16" i="14" s="1"/>
  <c r="X16" i="14"/>
  <c r="AJ16" i="14" s="1"/>
  <c r="V16" i="14"/>
  <c r="T16" i="14"/>
  <c r="R16" i="14"/>
  <c r="P16" i="14"/>
  <c r="N16" i="14"/>
  <c r="L16" i="14"/>
  <c r="J16" i="14"/>
  <c r="FB15" i="14"/>
  <c r="EF15" i="14"/>
  <c r="ED15" i="14"/>
  <c r="CP15" i="14"/>
  <c r="BX15" i="14"/>
  <c r="BY15" i="14" s="1"/>
  <c r="BE15" i="14"/>
  <c r="BF15" i="14" s="1"/>
  <c r="AN15" i="14"/>
  <c r="AO15" i="14" s="1"/>
  <c r="X15" i="14"/>
  <c r="AJ15" i="14" s="1"/>
  <c r="AP15" i="14" s="1"/>
  <c r="V15" i="14"/>
  <c r="T15" i="14"/>
  <c r="R15" i="14"/>
  <c r="P15" i="14"/>
  <c r="N15" i="14"/>
  <c r="L15" i="14"/>
  <c r="J15" i="14"/>
  <c r="FB14" i="14"/>
  <c r="EF14" i="14"/>
  <c r="ED14" i="14"/>
  <c r="CP14" i="14"/>
  <c r="CP11" i="14" s="1"/>
  <c r="BX14" i="14"/>
  <c r="BY14" i="14" s="1"/>
  <c r="BE14" i="14"/>
  <c r="BF14" i="14" s="1"/>
  <c r="AN14" i="14"/>
  <c r="AO14" i="14" s="1"/>
  <c r="X14" i="14"/>
  <c r="AJ14" i="14" s="1"/>
  <c r="V14" i="14"/>
  <c r="T14" i="14"/>
  <c r="T5" i="14" s="1"/>
  <c r="R14" i="14"/>
  <c r="P14" i="14"/>
  <c r="P5" i="14" s="1"/>
  <c r="N14" i="14"/>
  <c r="L14" i="14"/>
  <c r="L5" i="14" s="1"/>
  <c r="J14" i="14"/>
  <c r="FB13" i="14"/>
  <c r="FB10" i="14" s="1"/>
  <c r="EF13" i="14"/>
  <c r="EF10" i="14" s="1"/>
  <c r="ED13" i="14"/>
  <c r="ED11" i="14" s="1"/>
  <c r="CP13" i="14"/>
  <c r="BX13" i="14"/>
  <c r="BY13" i="14" s="1"/>
  <c r="BE13" i="14"/>
  <c r="BF13" i="14" s="1"/>
  <c r="AN13" i="14"/>
  <c r="AO13" i="14" s="1"/>
  <c r="X13" i="14"/>
  <c r="AJ13" i="14" s="1"/>
  <c r="AP13" i="14" s="1"/>
  <c r="V13" i="14"/>
  <c r="V5" i="14" s="1"/>
  <c r="T13" i="14"/>
  <c r="R13" i="14"/>
  <c r="R5" i="14" s="1"/>
  <c r="P13" i="14"/>
  <c r="N13" i="14"/>
  <c r="N5" i="14" s="1"/>
  <c r="L13" i="14"/>
  <c r="J13" i="14"/>
  <c r="J5" i="14" s="1"/>
  <c r="FK11" i="14"/>
  <c r="FJ11" i="14"/>
  <c r="FI11" i="14"/>
  <c r="FH11" i="14"/>
  <c r="FG11" i="14"/>
  <c r="FD11" i="14"/>
  <c r="FC11" i="14"/>
  <c r="FB11" i="14"/>
  <c r="FA11" i="14"/>
  <c r="EZ11" i="14"/>
  <c r="EY11" i="14"/>
  <c r="EX11" i="14"/>
  <c r="EW11" i="14"/>
  <c r="EV11" i="14"/>
  <c r="EP11" i="14"/>
  <c r="EO11" i="14"/>
  <c r="EN11" i="14"/>
  <c r="EM11" i="14"/>
  <c r="EL11" i="14"/>
  <c r="EK11" i="14"/>
  <c r="EJ11" i="14"/>
  <c r="EI11" i="14"/>
  <c r="EH11" i="14"/>
  <c r="EG11" i="14"/>
  <c r="EF11" i="14"/>
  <c r="EE11" i="14"/>
  <c r="EC11" i="14"/>
  <c r="EB11" i="14"/>
  <c r="DX11" i="14"/>
  <c r="DW11" i="14"/>
  <c r="DV11" i="14"/>
  <c r="DR11" i="14"/>
  <c r="DP11" i="14"/>
  <c r="DO11" i="14"/>
  <c r="DM11" i="14"/>
  <c r="DJ11" i="14"/>
  <c r="DI11" i="14"/>
  <c r="CO11" i="14"/>
  <c r="CN11" i="14"/>
  <c r="CM11" i="14"/>
  <c r="BW11" i="14"/>
  <c r="BV11" i="14"/>
  <c r="BT11" i="14"/>
  <c r="BE11" i="14"/>
  <c r="BD11" i="14"/>
  <c r="BC11" i="14"/>
  <c r="BB11" i="14"/>
  <c r="BA11" i="14"/>
  <c r="AV11" i="14"/>
  <c r="AM11" i="14"/>
  <c r="AL11" i="14"/>
  <c r="AK11" i="14"/>
  <c r="U11" i="14"/>
  <c r="S11" i="14"/>
  <c r="Q11" i="14"/>
  <c r="O11" i="14"/>
  <c r="M11" i="14"/>
  <c r="K11" i="14"/>
  <c r="I11" i="14"/>
  <c r="H11" i="14"/>
  <c r="G11" i="14"/>
  <c r="D11" i="14"/>
  <c r="C11" i="14"/>
  <c r="FK10" i="14"/>
  <c r="FJ10" i="14"/>
  <c r="FI10" i="14"/>
  <c r="FH10" i="14"/>
  <c r="FG10" i="14"/>
  <c r="FD10" i="14"/>
  <c r="FC10" i="14"/>
  <c r="FA10" i="14"/>
  <c r="EZ10" i="14"/>
  <c r="EY10" i="14"/>
  <c r="EX10" i="14"/>
  <c r="EW10" i="14"/>
  <c r="EV10" i="14"/>
  <c r="EP10" i="14"/>
  <c r="EO10" i="14"/>
  <c r="EN10" i="14"/>
  <c r="EM10" i="14"/>
  <c r="EL10" i="14"/>
  <c r="EK10" i="14"/>
  <c r="EJ10" i="14"/>
  <c r="EI10" i="14"/>
  <c r="EH10" i="14"/>
  <c r="EG10" i="14"/>
  <c r="EE10" i="14"/>
  <c r="EC10" i="14"/>
  <c r="DX10" i="14"/>
  <c r="DW10" i="14"/>
  <c r="DV10" i="14"/>
  <c r="DR10" i="14"/>
  <c r="DP10" i="14"/>
  <c r="DO10" i="14"/>
  <c r="DN10" i="14"/>
  <c r="DM10" i="14"/>
  <c r="DJ10" i="14"/>
  <c r="DI10" i="14"/>
  <c r="CP10" i="14"/>
  <c r="CO10" i="14"/>
  <c r="CN10" i="14"/>
  <c r="CM10" i="14"/>
  <c r="BW10" i="14"/>
  <c r="BV10" i="14"/>
  <c r="BT10" i="14"/>
  <c r="BD10" i="14"/>
  <c r="BC10" i="14"/>
  <c r="BB10" i="14"/>
  <c r="BA10" i="14"/>
  <c r="AV10" i="14"/>
  <c r="AN10" i="14"/>
  <c r="AM10" i="14"/>
  <c r="AL10" i="14"/>
  <c r="AK10" i="14"/>
  <c r="AC10" i="14"/>
  <c r="U10" i="14"/>
  <c r="S10" i="14"/>
  <c r="Q10" i="14"/>
  <c r="O10" i="14"/>
  <c r="M10" i="14"/>
  <c r="K10" i="14"/>
  <c r="I10" i="14"/>
  <c r="H10" i="14"/>
  <c r="G10" i="14"/>
  <c r="D10" i="14"/>
  <c r="C10" i="14"/>
  <c r="FK9" i="14"/>
  <c r="FJ9" i="14"/>
  <c r="FI9" i="14"/>
  <c r="FH9" i="14"/>
  <c r="FG9" i="14"/>
  <c r="FD9" i="14"/>
  <c r="FC9" i="14"/>
  <c r="FA9" i="14"/>
  <c r="EZ9" i="14"/>
  <c r="EY9" i="14"/>
  <c r="EX9" i="14"/>
  <c r="EW9" i="14"/>
  <c r="EV9" i="14"/>
  <c r="EP9" i="14"/>
  <c r="EO9" i="14"/>
  <c r="EN9" i="14"/>
  <c r="EM9" i="14"/>
  <c r="EL9" i="14"/>
  <c r="EK9" i="14"/>
  <c r="EJ9" i="14"/>
  <c r="EI9" i="14"/>
  <c r="EH9" i="14"/>
  <c r="EG9" i="14"/>
  <c r="EE9" i="14"/>
  <c r="EC9" i="14"/>
  <c r="DX9" i="14"/>
  <c r="DW9" i="14"/>
  <c r="DV9" i="14"/>
  <c r="DR9" i="14"/>
  <c r="DP9" i="14"/>
  <c r="DO9" i="14"/>
  <c r="DM9" i="14"/>
  <c r="DJ9" i="14"/>
  <c r="DI9" i="14"/>
  <c r="CO9" i="14"/>
  <c r="CN9" i="14"/>
  <c r="CM9" i="14"/>
  <c r="BX9" i="14"/>
  <c r="BW9" i="14"/>
  <c r="BV9" i="14"/>
  <c r="BT9" i="14"/>
  <c r="BN9" i="14"/>
  <c r="BE9" i="14"/>
  <c r="BD9" i="14"/>
  <c r="BC9" i="14"/>
  <c r="BB9" i="14"/>
  <c r="BA9" i="14"/>
  <c r="AV9" i="14"/>
  <c r="AM9" i="14"/>
  <c r="AL9" i="14"/>
  <c r="AK9" i="14"/>
  <c r="AG9" i="14"/>
  <c r="AF9" i="14"/>
  <c r="U9" i="14"/>
  <c r="S9" i="14"/>
  <c r="Q9" i="14"/>
  <c r="O9" i="14"/>
  <c r="M9" i="14"/>
  <c r="K9" i="14"/>
  <c r="I9" i="14"/>
  <c r="H9" i="14"/>
  <c r="G9" i="14"/>
  <c r="D9" i="14"/>
  <c r="C9" i="14"/>
  <c r="FK8" i="14"/>
  <c r="FJ8" i="14"/>
  <c r="FI8" i="14"/>
  <c r="FH8" i="14"/>
  <c r="FG8" i="14"/>
  <c r="FD8" i="14"/>
  <c r="FC8" i="14"/>
  <c r="FB8" i="14"/>
  <c r="FA8" i="14"/>
  <c r="EZ8" i="14"/>
  <c r="EY8" i="14"/>
  <c r="EX8" i="14"/>
  <c r="EW8" i="14"/>
  <c r="EV8" i="14"/>
  <c r="EP8" i="14"/>
  <c r="EO8" i="14"/>
  <c r="EN8" i="14"/>
  <c r="EM8" i="14"/>
  <c r="EL8" i="14"/>
  <c r="EK8" i="14"/>
  <c r="EJ8" i="14"/>
  <c r="EI8" i="14"/>
  <c r="EH8" i="14"/>
  <c r="EG8" i="14"/>
  <c r="EE8" i="14"/>
  <c r="ED8" i="14"/>
  <c r="EC8" i="14"/>
  <c r="EB8" i="14"/>
  <c r="DX8" i="14"/>
  <c r="DW8" i="14"/>
  <c r="DV8" i="14"/>
  <c r="DR8" i="14"/>
  <c r="DP8" i="14"/>
  <c r="DO8" i="14"/>
  <c r="DM8" i="14"/>
  <c r="CO8" i="14"/>
  <c r="CN8" i="14"/>
  <c r="CM8" i="14"/>
  <c r="BW8" i="14"/>
  <c r="BV8" i="14"/>
  <c r="BT8" i="14"/>
  <c r="BE8" i="14"/>
  <c r="BD8" i="14"/>
  <c r="BC8" i="14"/>
  <c r="BB8" i="14"/>
  <c r="BA8" i="14"/>
  <c r="AV8" i="14"/>
  <c r="AM8" i="14"/>
  <c r="AL8" i="14"/>
  <c r="AK8" i="14"/>
  <c r="U8" i="14"/>
  <c r="S8" i="14"/>
  <c r="Q8" i="14"/>
  <c r="O8" i="14"/>
  <c r="M8" i="14"/>
  <c r="K8" i="14"/>
  <c r="I8" i="14"/>
  <c r="H8" i="14"/>
  <c r="G8" i="14"/>
  <c r="D8" i="14"/>
  <c r="C8" i="14"/>
  <c r="FK6" i="14"/>
  <c r="FK7" i="14" s="1"/>
  <c r="FJ6" i="14"/>
  <c r="FJ7" i="14" s="1"/>
  <c r="FI6" i="14"/>
  <c r="FI7" i="14" s="1"/>
  <c r="FH6" i="14"/>
  <c r="FH7" i="14" s="1"/>
  <c r="FG6" i="14"/>
  <c r="FG7" i="14" s="1"/>
  <c r="FD6" i="14"/>
  <c r="FD7" i="14" s="1"/>
  <c r="FC6" i="14"/>
  <c r="FC7" i="14" s="1"/>
  <c r="FA6" i="14"/>
  <c r="FA7" i="14" s="1"/>
  <c r="EZ6" i="14"/>
  <c r="EZ7" i="14" s="1"/>
  <c r="EY6" i="14"/>
  <c r="EY7" i="14" s="1"/>
  <c r="EX6" i="14"/>
  <c r="EX7" i="14" s="1"/>
  <c r="EW6" i="14"/>
  <c r="EW7" i="14" s="1"/>
  <c r="EV6" i="14"/>
  <c r="EV7" i="14" s="1"/>
  <c r="EP6" i="14"/>
  <c r="EP7" i="14" s="1"/>
  <c r="EO6" i="14"/>
  <c r="EO7" i="14" s="1"/>
  <c r="EN6" i="14"/>
  <c r="EN7" i="14" s="1"/>
  <c r="EM6" i="14"/>
  <c r="EM7" i="14" s="1"/>
  <c r="EL6" i="14"/>
  <c r="EL7" i="14" s="1"/>
  <c r="EK6" i="14"/>
  <c r="EK7" i="14" s="1"/>
  <c r="EJ6" i="14"/>
  <c r="EJ7" i="14" s="1"/>
  <c r="EI6" i="14"/>
  <c r="EI7" i="14" s="1"/>
  <c r="EH6" i="14"/>
  <c r="EH7" i="14" s="1"/>
  <c r="EG6" i="14"/>
  <c r="EG7" i="14" s="1"/>
  <c r="EE6" i="14"/>
  <c r="EE7" i="14" s="1"/>
  <c r="EC6" i="14"/>
  <c r="EC7" i="14" s="1"/>
  <c r="DX6" i="14"/>
  <c r="DX7" i="14" s="1"/>
  <c r="DW6" i="14"/>
  <c r="DW7" i="14" s="1"/>
  <c r="DV6" i="14"/>
  <c r="DV7" i="14" s="1"/>
  <c r="DR6" i="14"/>
  <c r="DR7" i="14" s="1"/>
  <c r="DP6" i="14"/>
  <c r="DP7" i="14" s="1"/>
  <c r="DO6" i="14"/>
  <c r="DO7" i="14" s="1"/>
  <c r="DN6" i="14"/>
  <c r="DN7" i="14" s="1"/>
  <c r="DM6" i="14"/>
  <c r="DM7" i="14" s="1"/>
  <c r="DK6" i="14"/>
  <c r="DK7" i="14" s="1"/>
  <c r="DJ6" i="14"/>
  <c r="DJ7" i="14" s="1"/>
  <c r="DI6" i="14"/>
  <c r="DI7" i="14" s="1"/>
  <c r="DH6" i="14"/>
  <c r="DH7" i="14" s="1"/>
  <c r="DG6" i="14"/>
  <c r="DG7" i="14" s="1"/>
  <c r="DC6" i="14"/>
  <c r="DC7" i="14" s="1"/>
  <c r="DB6" i="14"/>
  <c r="DB7" i="14" s="1"/>
  <c r="DA6" i="14"/>
  <c r="DA7" i="14" s="1"/>
  <c r="CZ6" i="14"/>
  <c r="CZ7" i="14" s="1"/>
  <c r="CY6" i="14"/>
  <c r="CY7" i="14" s="1"/>
  <c r="CX6" i="14"/>
  <c r="CX7" i="14" s="1"/>
  <c r="CW6" i="14"/>
  <c r="CW7" i="14" s="1"/>
  <c r="CV6" i="14"/>
  <c r="CV7" i="14" s="1"/>
  <c r="CU6" i="14"/>
  <c r="CU7" i="14" s="1"/>
  <c r="CT6" i="14"/>
  <c r="CT7" i="14" s="1"/>
  <c r="CO6" i="14"/>
  <c r="CO7" i="14" s="1"/>
  <c r="CN6" i="14"/>
  <c r="CN7" i="14" s="1"/>
  <c r="CM6" i="14"/>
  <c r="CM7" i="14" s="1"/>
  <c r="CK6" i="14"/>
  <c r="CK7" i="14" s="1"/>
  <c r="CJ6" i="14"/>
  <c r="CJ7" i="14" s="1"/>
  <c r="CF6" i="14"/>
  <c r="CF7" i="14" s="1"/>
  <c r="CE6" i="14"/>
  <c r="CE7" i="14" s="1"/>
  <c r="CD6" i="14"/>
  <c r="CD7" i="14" s="1"/>
  <c r="CC6" i="14"/>
  <c r="CC7" i="14" s="1"/>
  <c r="CB6" i="14"/>
  <c r="CB7" i="14" s="1"/>
  <c r="CA6" i="14"/>
  <c r="CA7" i="14" s="1"/>
  <c r="BW6" i="14"/>
  <c r="BW7" i="14" s="1"/>
  <c r="BV6" i="14"/>
  <c r="BV7" i="14" s="1"/>
  <c r="BT6" i="14"/>
  <c r="BT7" i="14" s="1"/>
  <c r="BP6" i="14"/>
  <c r="BP7" i="14" s="1"/>
  <c r="BO6" i="14"/>
  <c r="BO7" i="14" s="1"/>
  <c r="BM6" i="14"/>
  <c r="BM7" i="14" s="1"/>
  <c r="BL6" i="14"/>
  <c r="BL7" i="14" s="1"/>
  <c r="BK6" i="14"/>
  <c r="BK7" i="14" s="1"/>
  <c r="BJ6" i="14"/>
  <c r="BJ7" i="14" s="1"/>
  <c r="BI6" i="14"/>
  <c r="BI7" i="14" s="1"/>
  <c r="BH6" i="14"/>
  <c r="BH7" i="14" s="1"/>
  <c r="BD6" i="14"/>
  <c r="BD7" i="14" s="1"/>
  <c r="BC6" i="14"/>
  <c r="BC7" i="14" s="1"/>
  <c r="BB6" i="14"/>
  <c r="BB7" i="14" s="1"/>
  <c r="BA6" i="14"/>
  <c r="BA7" i="14" s="1"/>
  <c r="AW6" i="14"/>
  <c r="AW7" i="14" s="1"/>
  <c r="AV6" i="14"/>
  <c r="AV7" i="14" s="1"/>
  <c r="AU6" i="14"/>
  <c r="AU7" i="14" s="1"/>
  <c r="AT6" i="14"/>
  <c r="AT7" i="14" s="1"/>
  <c r="AS6" i="14"/>
  <c r="AS7" i="14" s="1"/>
  <c r="AR6" i="14"/>
  <c r="AR7" i="14" s="1"/>
  <c r="AQ6" i="14"/>
  <c r="AQ7" i="14" s="1"/>
  <c r="AM6" i="14"/>
  <c r="AM7" i="14" s="1"/>
  <c r="AL6" i="14"/>
  <c r="AL7" i="14" s="1"/>
  <c r="AK6" i="14"/>
  <c r="AK7" i="14" s="1"/>
  <c r="AG6" i="14"/>
  <c r="AG7" i="14" s="1"/>
  <c r="AF6" i="14"/>
  <c r="AF7" i="14" s="1"/>
  <c r="AE6" i="14"/>
  <c r="AE7" i="14" s="1"/>
  <c r="AD6" i="14"/>
  <c r="AD7" i="14" s="1"/>
  <c r="AC6" i="14"/>
  <c r="AC7" i="14" s="1"/>
  <c r="AB6" i="14"/>
  <c r="AB7" i="14" s="1"/>
  <c r="AA6" i="14"/>
  <c r="AA7" i="14" s="1"/>
  <c r="Z6" i="14"/>
  <c r="Z7" i="14" s="1"/>
  <c r="Y6" i="14"/>
  <c r="Y7" i="14" s="1"/>
  <c r="U6" i="14"/>
  <c r="U7" i="14" s="1"/>
  <c r="S6" i="14"/>
  <c r="S7" i="14" s="1"/>
  <c r="Q6" i="14"/>
  <c r="Q7" i="14" s="1"/>
  <c r="O6" i="14"/>
  <c r="O7" i="14" s="1"/>
  <c r="M6" i="14"/>
  <c r="M7" i="14" s="1"/>
  <c r="K6" i="14"/>
  <c r="K7" i="14" s="1"/>
  <c r="I6" i="14"/>
  <c r="I7" i="14" s="1"/>
  <c r="H6" i="14"/>
  <c r="H7" i="14" s="1"/>
  <c r="G6" i="14"/>
  <c r="G7" i="14" s="1"/>
  <c r="D6" i="14"/>
  <c r="D7" i="14" s="1"/>
  <c r="C6" i="14"/>
  <c r="C7" i="14" s="1"/>
  <c r="FK5" i="14"/>
  <c r="FJ5" i="14"/>
  <c r="FI5" i="14"/>
  <c r="FH5" i="14"/>
  <c r="FG5" i="14"/>
  <c r="FD5" i="14"/>
  <c r="FC5" i="14"/>
  <c r="FA5" i="14"/>
  <c r="EZ5" i="14"/>
  <c r="EY5" i="14"/>
  <c r="EX5" i="14"/>
  <c r="EW5" i="14"/>
  <c r="EV5" i="14"/>
  <c r="EP5" i="14"/>
  <c r="EO5" i="14"/>
  <c r="EN5" i="14"/>
  <c r="EM5" i="14"/>
  <c r="EL5" i="14"/>
  <c r="EK5" i="14"/>
  <c r="EJ5" i="14"/>
  <c r="EI5" i="14"/>
  <c r="EH5" i="14"/>
  <c r="EG5" i="14"/>
  <c r="EE5" i="14"/>
  <c r="EC5" i="14"/>
  <c r="EB5" i="14"/>
  <c r="DX5" i="14"/>
  <c r="DW5" i="14"/>
  <c r="DV5" i="14"/>
  <c r="DR5" i="14"/>
  <c r="DP5" i="14"/>
  <c r="DO5" i="14"/>
  <c r="DN5" i="14"/>
  <c r="DM5" i="14"/>
  <c r="DK5" i="14"/>
  <c r="DJ5" i="14"/>
  <c r="DJ8" i="14" s="1"/>
  <c r="DI5" i="14"/>
  <c r="DI8" i="14" s="1"/>
  <c r="DH5" i="14"/>
  <c r="DG5" i="14"/>
  <c r="DC5" i="14"/>
  <c r="DB5" i="14"/>
  <c r="DA5" i="14"/>
  <c r="CZ5" i="14"/>
  <c r="CY5" i="14"/>
  <c r="CX5" i="14"/>
  <c r="CW5" i="14"/>
  <c r="CV5" i="14"/>
  <c r="CU5" i="14"/>
  <c r="CT5" i="14"/>
  <c r="CO5" i="14"/>
  <c r="CN5" i="14"/>
  <c r="CM5" i="14"/>
  <c r="CK5" i="14"/>
  <c r="CJ5" i="14"/>
  <c r="CF5" i="14"/>
  <c r="CE5" i="14"/>
  <c r="CD5" i="14"/>
  <c r="CC5" i="14"/>
  <c r="CB5" i="14"/>
  <c r="CA5" i="14"/>
  <c r="BW5" i="14"/>
  <c r="BV5" i="14"/>
  <c r="BT5" i="14"/>
  <c r="BP5" i="14"/>
  <c r="BO5" i="14"/>
  <c r="BM5" i="14"/>
  <c r="BL5" i="14"/>
  <c r="BK5" i="14"/>
  <c r="BJ5" i="14"/>
  <c r="BI5" i="14"/>
  <c r="BH5" i="14"/>
  <c r="BD5" i="14"/>
  <c r="BC5" i="14"/>
  <c r="BB5" i="14"/>
  <c r="BA5" i="14"/>
  <c r="AW5" i="14"/>
  <c r="AV5" i="14"/>
  <c r="AU5" i="14"/>
  <c r="AT5" i="14"/>
  <c r="AS5" i="14"/>
  <c r="AR5" i="14"/>
  <c r="AQ5" i="14"/>
  <c r="AM5" i="14"/>
  <c r="AL5" i="14"/>
  <c r="AK5" i="14"/>
  <c r="AG5" i="14"/>
  <c r="AG8" i="14" s="1"/>
  <c r="AF5" i="14"/>
  <c r="AF8" i="14" s="1"/>
  <c r="AE5" i="14"/>
  <c r="AD5" i="14"/>
  <c r="AC5" i="14"/>
  <c r="AB5" i="14"/>
  <c r="AA5" i="14"/>
  <c r="Z5" i="14"/>
  <c r="Y5" i="14"/>
  <c r="U5" i="14"/>
  <c r="S5" i="14"/>
  <c r="Q5" i="14"/>
  <c r="O5" i="14"/>
  <c r="M5" i="14"/>
  <c r="K5" i="14"/>
  <c r="I5" i="14"/>
  <c r="H5" i="14"/>
  <c r="G5" i="14"/>
  <c r="D5" i="14"/>
  <c r="C5" i="14"/>
  <c r="ER6" i="14" l="1"/>
  <c r="ER7" i="14" s="1"/>
  <c r="ER9" i="14"/>
  <c r="ER11" i="14"/>
  <c r="BN5" i="14"/>
  <c r="ER5" i="14"/>
  <c r="ER8" i="14"/>
  <c r="AZ25" i="5"/>
  <c r="AP25" i="5"/>
  <c r="AZ27" i="5"/>
  <c r="AP27" i="5"/>
  <c r="AZ24" i="5"/>
  <c r="AP24" i="5"/>
  <c r="AZ23" i="5"/>
  <c r="AZ26" i="5"/>
  <c r="EM27" i="5"/>
  <c r="BX5" i="14"/>
  <c r="J6" i="14"/>
  <c r="J7" i="14" s="1"/>
  <c r="L6" i="14"/>
  <c r="L7" i="14" s="1"/>
  <c r="N6" i="14"/>
  <c r="N7" i="14" s="1"/>
  <c r="P6" i="14"/>
  <c r="P7" i="14" s="1"/>
  <c r="R6" i="14"/>
  <c r="R7" i="14" s="1"/>
  <c r="T6" i="14"/>
  <c r="T7" i="14" s="1"/>
  <c r="V6" i="14"/>
  <c r="V7" i="14" s="1"/>
  <c r="BE6" i="14"/>
  <c r="BE7" i="14" s="1"/>
  <c r="EB6" i="14"/>
  <c r="EB7" i="14" s="1"/>
  <c r="EB9" i="14"/>
  <c r="EB10" i="14"/>
  <c r="BN8" i="14"/>
  <c r="BE5" i="14"/>
  <c r="BN6" i="14"/>
  <c r="BN7" i="14" s="1"/>
  <c r="BX6" i="14"/>
  <c r="BX7" i="14" s="1"/>
  <c r="FB6" i="14"/>
  <c r="FB7" i="14" s="1"/>
  <c r="BX8" i="14"/>
  <c r="ED9" i="14"/>
  <c r="FB9" i="14"/>
  <c r="ED10" i="14"/>
  <c r="L11" i="14"/>
  <c r="P11" i="14"/>
  <c r="T11" i="14"/>
  <c r="CP9" i="14"/>
  <c r="J11" i="14"/>
  <c r="N11" i="14"/>
  <c r="R11" i="14"/>
  <c r="BN11" i="14"/>
  <c r="F11" i="14"/>
  <c r="V11" i="14"/>
  <c r="ED27" i="14"/>
  <c r="ED6" i="14" s="1"/>
  <c r="ED7" i="14" s="1"/>
  <c r="F5" i="14"/>
  <c r="F6" i="14"/>
  <c r="F7" i="14" s="1"/>
  <c r="F8" i="14"/>
  <c r="F9" i="14"/>
  <c r="F10" i="14"/>
  <c r="BF9" i="14"/>
  <c r="BF8" i="14"/>
  <c r="BF6" i="14"/>
  <c r="BF7" i="14" s="1"/>
  <c r="BF5" i="14"/>
  <c r="BF10" i="14"/>
  <c r="AO10" i="14"/>
  <c r="AO11" i="14"/>
  <c r="AO9" i="14"/>
  <c r="AO8" i="14"/>
  <c r="AO6" i="14"/>
  <c r="AO7" i="14" s="1"/>
  <c r="AO5" i="14"/>
  <c r="BY9" i="14"/>
  <c r="BY8" i="14"/>
  <c r="BY6" i="14"/>
  <c r="BY7" i="14" s="1"/>
  <c r="BY5" i="14"/>
  <c r="BY11" i="14"/>
  <c r="BY10" i="14"/>
  <c r="AN5" i="14"/>
  <c r="CP5" i="14"/>
  <c r="EF5" i="14"/>
  <c r="AN6" i="14"/>
  <c r="AN7" i="14" s="1"/>
  <c r="CP6" i="14"/>
  <c r="CP7" i="14" s="1"/>
  <c r="EF6" i="14"/>
  <c r="EF7" i="14" s="1"/>
  <c r="J8" i="14"/>
  <c r="L8" i="14"/>
  <c r="N8" i="14"/>
  <c r="P8" i="14"/>
  <c r="R8" i="14"/>
  <c r="T8" i="14"/>
  <c r="V8" i="14"/>
  <c r="AN8" i="14"/>
  <c r="CP8" i="14"/>
  <c r="EF8" i="14"/>
  <c r="J9" i="14"/>
  <c r="L9" i="14"/>
  <c r="N9" i="14"/>
  <c r="P9" i="14"/>
  <c r="R9" i="14"/>
  <c r="T9" i="14"/>
  <c r="V9" i="14"/>
  <c r="AN9" i="14"/>
  <c r="EF9" i="14"/>
  <c r="J10" i="14"/>
  <c r="L10" i="14"/>
  <c r="N10" i="14"/>
  <c r="P10" i="14"/>
  <c r="R10" i="14"/>
  <c r="T10" i="14"/>
  <c r="V10" i="14"/>
  <c r="BE10" i="14"/>
  <c r="BN10" i="14"/>
  <c r="BX10" i="14"/>
  <c r="AN11" i="14"/>
  <c r="BX11" i="14"/>
  <c r="Y8" i="14"/>
  <c r="Y9" i="14"/>
  <c r="AA10" i="14"/>
  <c r="AA8" i="14"/>
  <c r="AB10" i="14" s="1"/>
  <c r="AA9" i="14"/>
  <c r="AC8" i="14"/>
  <c r="AC9" i="14"/>
  <c r="AE10" i="14"/>
  <c r="AE8" i="14"/>
  <c r="AE9" i="14"/>
  <c r="AQ10" i="14"/>
  <c r="AQ8" i="14"/>
  <c r="AQ11" i="14"/>
  <c r="AQ9" i="14"/>
  <c r="AS10" i="14"/>
  <c r="AS8" i="14"/>
  <c r="AS11" i="14"/>
  <c r="AS9" i="14"/>
  <c r="AU10" i="14"/>
  <c r="AU8" i="14"/>
  <c r="AU11" i="14"/>
  <c r="AU9" i="14"/>
  <c r="AW10" i="14"/>
  <c r="AW8" i="14"/>
  <c r="AW11" i="14"/>
  <c r="AW9" i="14"/>
  <c r="BH9" i="14"/>
  <c r="BH11" i="14"/>
  <c r="BH10" i="14"/>
  <c r="BH8" i="14"/>
  <c r="BJ9" i="14"/>
  <c r="BJ11" i="14"/>
  <c r="BJ10" i="14"/>
  <c r="BJ8" i="14"/>
  <c r="BL9" i="14"/>
  <c r="BL11" i="14"/>
  <c r="BL10" i="14"/>
  <c r="BL8" i="14"/>
  <c r="BP9" i="14"/>
  <c r="BP11" i="14"/>
  <c r="BP10" i="14"/>
  <c r="BP8" i="14"/>
  <c r="CB11" i="14"/>
  <c r="CB10" i="14"/>
  <c r="CB8" i="14"/>
  <c r="CB9" i="14"/>
  <c r="CD11" i="14"/>
  <c r="CD10" i="14"/>
  <c r="CD8" i="14"/>
  <c r="CD9" i="14"/>
  <c r="CF11" i="14"/>
  <c r="CF10" i="14"/>
  <c r="CF8" i="14"/>
  <c r="CF9" i="14"/>
  <c r="CK11" i="14"/>
  <c r="CK10" i="14"/>
  <c r="CK8" i="14"/>
  <c r="CK9" i="14"/>
  <c r="CT9" i="14"/>
  <c r="CT10" i="14"/>
  <c r="CT8" i="14"/>
  <c r="CV9" i="14"/>
  <c r="CV10" i="14"/>
  <c r="CV8" i="14"/>
  <c r="CX9" i="14"/>
  <c r="CX10" i="14"/>
  <c r="CX8" i="14"/>
  <c r="CZ9" i="14"/>
  <c r="CZ10" i="14"/>
  <c r="CZ8" i="14"/>
  <c r="DB9" i="14"/>
  <c r="DB10" i="14"/>
  <c r="DB8" i="14"/>
  <c r="DG9" i="14"/>
  <c r="DG11" i="14"/>
  <c r="DG10" i="14"/>
  <c r="DG8" i="14"/>
  <c r="AZ14" i="14"/>
  <c r="AP14" i="14"/>
  <c r="AZ16" i="14"/>
  <c r="AP16" i="14"/>
  <c r="AZ18" i="14"/>
  <c r="AP18" i="14"/>
  <c r="AZ22" i="14"/>
  <c r="AP22" i="14"/>
  <c r="BS24" i="14"/>
  <c r="BG24" i="14"/>
  <c r="AZ25" i="14"/>
  <c r="AP25" i="14"/>
  <c r="Z9" i="14"/>
  <c r="Z8" i="14"/>
  <c r="AB9" i="14"/>
  <c r="AB8" i="14"/>
  <c r="AD9" i="14"/>
  <c r="AD10" i="14"/>
  <c r="AD8" i="14"/>
  <c r="AR11" i="14"/>
  <c r="AR9" i="14"/>
  <c r="AR10" i="14"/>
  <c r="AR8" i="14"/>
  <c r="AT11" i="14"/>
  <c r="AT9" i="14"/>
  <c r="AT10" i="14"/>
  <c r="AT8" i="14"/>
  <c r="BI11" i="14"/>
  <c r="BI10" i="14"/>
  <c r="BI8" i="14"/>
  <c r="BI9" i="14"/>
  <c r="BK11" i="14"/>
  <c r="BK10" i="14"/>
  <c r="BK8" i="14"/>
  <c r="BK9" i="14"/>
  <c r="BM11" i="14"/>
  <c r="BM10" i="14"/>
  <c r="BM8" i="14"/>
  <c r="BM9" i="14"/>
  <c r="BO11" i="14"/>
  <c r="BO10" i="14"/>
  <c r="BO8" i="14"/>
  <c r="BO9" i="14"/>
  <c r="CA9" i="14"/>
  <c r="CA11" i="14"/>
  <c r="CA10" i="14"/>
  <c r="CA8" i="14"/>
  <c r="CC9" i="14"/>
  <c r="CC11" i="14"/>
  <c r="CC10" i="14"/>
  <c r="CC8" i="14"/>
  <c r="CE9" i="14"/>
  <c r="CE11" i="14"/>
  <c r="CE10" i="14"/>
  <c r="CE8" i="14"/>
  <c r="CJ9" i="14"/>
  <c r="CJ11" i="14"/>
  <c r="CJ10" i="14"/>
  <c r="CJ8" i="14"/>
  <c r="CU10" i="14"/>
  <c r="CU8" i="14"/>
  <c r="CU9" i="14"/>
  <c r="CW10" i="14"/>
  <c r="CW8" i="14"/>
  <c r="CW9" i="14"/>
  <c r="CY10" i="14"/>
  <c r="CY8" i="14"/>
  <c r="CY9" i="14"/>
  <c r="DA10" i="14"/>
  <c r="DA8" i="14"/>
  <c r="DA9" i="14"/>
  <c r="DC10" i="14"/>
  <c r="DC8" i="14"/>
  <c r="DC9" i="14"/>
  <c r="DH11" i="14"/>
  <c r="DH10" i="14"/>
  <c r="DH8" i="14"/>
  <c r="DH9" i="14"/>
  <c r="AZ17" i="14"/>
  <c r="AP17" i="14"/>
  <c r="BS19" i="14"/>
  <c r="BG19" i="14"/>
  <c r="AZ21" i="14"/>
  <c r="AP21" i="14"/>
  <c r="AZ23" i="14"/>
  <c r="AP23" i="14"/>
  <c r="BS26" i="14"/>
  <c r="BG26" i="14"/>
  <c r="AP27" i="14"/>
  <c r="AZ27" i="14"/>
  <c r="AZ13" i="14"/>
  <c r="AZ15" i="14"/>
  <c r="AP19" i="14"/>
  <c r="AZ20" i="14"/>
  <c r="AP24" i="14"/>
  <c r="AP26" i="14"/>
  <c r="BS23" i="5" l="1"/>
  <c r="BG23" i="5"/>
  <c r="BG26" i="5"/>
  <c r="BS26" i="5"/>
  <c r="BS24" i="5"/>
  <c r="BG24" i="5"/>
  <c r="BS27" i="5"/>
  <c r="BG27" i="5"/>
  <c r="BS25" i="5"/>
  <c r="BG25" i="5"/>
  <c r="ED5" i="14"/>
  <c r="BS27" i="14"/>
  <c r="BG27" i="14"/>
  <c r="BG20" i="14"/>
  <c r="BS20" i="14"/>
  <c r="BG15" i="14"/>
  <c r="BS15" i="14"/>
  <c r="BG13" i="14"/>
  <c r="BS13" i="14"/>
  <c r="CI26" i="14"/>
  <c r="EA26" i="14"/>
  <c r="BZ26" i="14"/>
  <c r="BS23" i="14"/>
  <c r="BG23" i="14"/>
  <c r="BS21" i="14"/>
  <c r="BG21" i="14"/>
  <c r="CI19" i="14"/>
  <c r="EA19" i="14"/>
  <c r="BZ19" i="14"/>
  <c r="BS17" i="14"/>
  <c r="BG17" i="14"/>
  <c r="BS25" i="14"/>
  <c r="BG25" i="14"/>
  <c r="EA24" i="14"/>
  <c r="BZ24" i="14"/>
  <c r="CI24" i="14"/>
  <c r="BS22" i="14"/>
  <c r="BG22" i="14"/>
  <c r="BS18" i="14"/>
  <c r="BG18" i="14"/>
  <c r="BS16" i="14"/>
  <c r="BG16" i="14"/>
  <c r="BS14" i="14"/>
  <c r="BG14" i="14"/>
  <c r="P20" i="13"/>
  <c r="O20" i="13"/>
  <c r="Q20" i="13" s="1"/>
  <c r="M20" i="13"/>
  <c r="N20" i="13" s="1"/>
  <c r="L20" i="13"/>
  <c r="J20" i="13"/>
  <c r="I20" i="13"/>
  <c r="K20" i="13" s="1"/>
  <c r="G20" i="13"/>
  <c r="H20" i="13" s="1"/>
  <c r="F20" i="13"/>
  <c r="D20" i="13"/>
  <c r="C20" i="13"/>
  <c r="E20" i="13" s="1"/>
  <c r="Q19" i="13"/>
  <c r="N19" i="13"/>
  <c r="K19" i="13"/>
  <c r="H19" i="13"/>
  <c r="E19" i="13"/>
  <c r="Q18" i="13"/>
  <c r="N18" i="13"/>
  <c r="K18" i="13"/>
  <c r="H18" i="13"/>
  <c r="E18" i="13"/>
  <c r="Q17" i="13"/>
  <c r="N17" i="13"/>
  <c r="K17" i="13"/>
  <c r="H17" i="13"/>
  <c r="E17" i="13"/>
  <c r="Q16" i="13"/>
  <c r="N16" i="13"/>
  <c r="K16" i="13"/>
  <c r="H16" i="13"/>
  <c r="E16" i="13"/>
  <c r="Q15" i="13"/>
  <c r="N15" i="13"/>
  <c r="K15" i="13"/>
  <c r="H15" i="13"/>
  <c r="E15" i="13"/>
  <c r="P14" i="13"/>
  <c r="O14" i="13"/>
  <c r="M14" i="13"/>
  <c r="L14" i="13"/>
  <c r="J14" i="13"/>
  <c r="I14" i="13"/>
  <c r="G14" i="13"/>
  <c r="F14" i="13"/>
  <c r="D14" i="13"/>
  <c r="C14" i="13"/>
  <c r="Q13" i="13"/>
  <c r="N13" i="13"/>
  <c r="K13" i="13"/>
  <c r="H13" i="13"/>
  <c r="E13" i="13"/>
  <c r="Q12" i="13"/>
  <c r="N12" i="13"/>
  <c r="K12" i="13"/>
  <c r="H12" i="13"/>
  <c r="E12" i="13"/>
  <c r="Q11" i="13"/>
  <c r="N11" i="13"/>
  <c r="K11" i="13"/>
  <c r="H11" i="13"/>
  <c r="E11" i="13"/>
  <c r="Q10" i="13"/>
  <c r="N10" i="13"/>
  <c r="K10" i="13"/>
  <c r="H10" i="13"/>
  <c r="E10" i="13"/>
  <c r="Q9" i="13"/>
  <c r="N9" i="13"/>
  <c r="K9" i="13"/>
  <c r="H9" i="13"/>
  <c r="E9" i="13"/>
  <c r="P8" i="13"/>
  <c r="P21" i="13" s="1"/>
  <c r="O8" i="13"/>
  <c r="M8" i="13"/>
  <c r="M21" i="13" s="1"/>
  <c r="L8" i="13"/>
  <c r="J8" i="13"/>
  <c r="J21" i="13" s="1"/>
  <c r="I8" i="13"/>
  <c r="G8" i="13"/>
  <c r="G21" i="13" s="1"/>
  <c r="F8" i="13"/>
  <c r="D8" i="13"/>
  <c r="D21" i="13" s="1"/>
  <c r="C8" i="13"/>
  <c r="Q7" i="13"/>
  <c r="N7" i="13"/>
  <c r="K7" i="13"/>
  <c r="H7" i="13"/>
  <c r="E7" i="13"/>
  <c r="Q6" i="13"/>
  <c r="N6" i="13"/>
  <c r="K6" i="13"/>
  <c r="H6" i="13"/>
  <c r="E6" i="13"/>
  <c r="Q5" i="13"/>
  <c r="N5" i="13"/>
  <c r="K5" i="13"/>
  <c r="H5" i="13"/>
  <c r="E5" i="13"/>
  <c r="C6" i="7"/>
  <c r="C5" i="7" s="1"/>
  <c r="D6" i="7"/>
  <c r="D5" i="7" s="1"/>
  <c r="E6" i="7"/>
  <c r="E5" i="7" s="1"/>
  <c r="J6" i="7"/>
  <c r="J5" i="7" s="1"/>
  <c r="N6" i="7"/>
  <c r="R6" i="7"/>
  <c r="R5" i="7" s="1"/>
  <c r="W6" i="7"/>
  <c r="W5" i="7" s="1"/>
  <c r="AD6" i="7"/>
  <c r="AD5" i="7" s="1"/>
  <c r="C11" i="7"/>
  <c r="D11" i="7"/>
  <c r="EY9" i="5"/>
  <c r="EX5" i="5"/>
  <c r="EX6" i="5"/>
  <c r="EX7" i="5" s="1"/>
  <c r="EX8" i="5"/>
  <c r="EX9" i="5"/>
  <c r="EX10" i="5"/>
  <c r="EX11" i="5"/>
  <c r="DX5" i="5"/>
  <c r="DX6" i="5"/>
  <c r="DX7" i="5" s="1"/>
  <c r="DX8" i="5"/>
  <c r="DX9" i="5"/>
  <c r="DX10" i="5"/>
  <c r="B498" i="1" s="1"/>
  <c r="DX11" i="5"/>
  <c r="FC6" i="5"/>
  <c r="FC7" i="5" s="1"/>
  <c r="FD6" i="5"/>
  <c r="FD7" i="5" s="1"/>
  <c r="FE6" i="5"/>
  <c r="FE7" i="5" s="1"/>
  <c r="FF6" i="5"/>
  <c r="FF7" i="5" s="1"/>
  <c r="FG6" i="5"/>
  <c r="FG7" i="5" s="1"/>
  <c r="FI6" i="5"/>
  <c r="FI7" i="5" s="1"/>
  <c r="FJ6" i="5"/>
  <c r="FJ7" i="5" s="1"/>
  <c r="FC5" i="5"/>
  <c r="FD5" i="5"/>
  <c r="FE5" i="5"/>
  <c r="FF5" i="5"/>
  <c r="FG5" i="5"/>
  <c r="FI5" i="5"/>
  <c r="FJ5" i="5"/>
  <c r="FJ11" i="5"/>
  <c r="FJ10" i="5"/>
  <c r="FJ9" i="5"/>
  <c r="FJ8" i="5"/>
  <c r="BU8" i="5"/>
  <c r="BU9" i="5"/>
  <c r="BU10" i="5"/>
  <c r="BU11" i="5"/>
  <c r="BU5" i="5"/>
  <c r="B256" i="1" s="1"/>
  <c r="BU6" i="5"/>
  <c r="BU7" i="5" s="1"/>
  <c r="BB10" i="5"/>
  <c r="BB8" i="5"/>
  <c r="BB9" i="5"/>
  <c r="F11" i="5"/>
  <c r="B57" i="1" s="1"/>
  <c r="E11" i="5"/>
  <c r="E10" i="5"/>
  <c r="E9" i="5"/>
  <c r="E8" i="5"/>
  <c r="E6" i="5"/>
  <c r="E7" i="5" s="1"/>
  <c r="E5" i="5"/>
  <c r="DU10" i="5"/>
  <c r="B589" i="1" s="1"/>
  <c r="EK11" i="5"/>
  <c r="FH6" i="5"/>
  <c r="FH7" i="5" s="1"/>
  <c r="EM11" i="5"/>
  <c r="CP10" i="5"/>
  <c r="B401" i="1" s="1"/>
  <c r="FI11" i="5"/>
  <c r="FG11" i="5"/>
  <c r="FF11" i="5"/>
  <c r="FE11" i="5"/>
  <c r="FD11" i="5"/>
  <c r="FC11" i="5"/>
  <c r="EW11" i="5"/>
  <c r="EV11" i="5"/>
  <c r="EU11" i="5"/>
  <c r="ET11" i="5"/>
  <c r="ES11" i="5"/>
  <c r="ER11" i="5"/>
  <c r="EQ11" i="5"/>
  <c r="EP11" i="5"/>
  <c r="EO11" i="5"/>
  <c r="EN11" i="5"/>
  <c r="EL11" i="5"/>
  <c r="EJ11" i="5"/>
  <c r="EI11" i="5"/>
  <c r="EE11" i="5"/>
  <c r="ED11" i="5"/>
  <c r="EC11" i="5"/>
  <c r="DY11" i="5"/>
  <c r="DW11" i="5"/>
  <c r="DV11" i="5"/>
  <c r="DT11" i="5"/>
  <c r="DP11" i="5"/>
  <c r="CP11" i="5"/>
  <c r="CO11" i="5"/>
  <c r="CN11" i="5"/>
  <c r="CM11" i="5"/>
  <c r="BW11" i="5"/>
  <c r="BV11" i="5"/>
  <c r="BT11" i="5"/>
  <c r="BN11" i="5"/>
  <c r="BD11" i="5"/>
  <c r="BC11" i="5"/>
  <c r="BB11" i="5"/>
  <c r="BA11" i="5"/>
  <c r="AV11" i="5"/>
  <c r="AL11" i="5"/>
  <c r="AK11" i="5"/>
  <c r="V11" i="5"/>
  <c r="U11" i="5"/>
  <c r="T11" i="5"/>
  <c r="S11" i="5"/>
  <c r="R11" i="5"/>
  <c r="Q11" i="5"/>
  <c r="P11" i="5"/>
  <c r="O11" i="5"/>
  <c r="N11" i="5"/>
  <c r="M11" i="5"/>
  <c r="L11" i="5"/>
  <c r="K11" i="5"/>
  <c r="J11" i="5"/>
  <c r="I11" i="5"/>
  <c r="H11" i="5"/>
  <c r="G11" i="5"/>
  <c r="D11" i="5"/>
  <c r="B53" i="1" s="1"/>
  <c r="C11" i="5"/>
  <c r="FI10" i="5"/>
  <c r="FH10" i="5"/>
  <c r="FG10" i="5"/>
  <c r="FF10" i="5"/>
  <c r="FE10" i="5"/>
  <c r="FD10" i="5"/>
  <c r="FC10" i="5"/>
  <c r="EW10" i="5"/>
  <c r="EV10" i="5"/>
  <c r="EU10" i="5"/>
  <c r="ET10" i="5"/>
  <c r="ES10" i="5"/>
  <c r="ER10" i="5"/>
  <c r="EQ10" i="5"/>
  <c r="EP10" i="5"/>
  <c r="EO10" i="5"/>
  <c r="EN10" i="5"/>
  <c r="EL10" i="5"/>
  <c r="EJ10" i="5"/>
  <c r="EI10" i="5"/>
  <c r="EE10" i="5"/>
  <c r="ED10" i="5"/>
  <c r="EC10" i="5"/>
  <c r="DY10" i="5"/>
  <c r="DW10" i="5"/>
  <c r="DV10" i="5"/>
  <c r="B496" i="1" s="1"/>
  <c r="DT10" i="5"/>
  <c r="DP10" i="5"/>
  <c r="CO10" i="5"/>
  <c r="CN10" i="5"/>
  <c r="CM10" i="5"/>
  <c r="BW10" i="5"/>
  <c r="BV10" i="5"/>
  <c r="B273" i="1" s="1"/>
  <c r="BT10" i="5"/>
  <c r="BN10" i="5"/>
  <c r="BD10" i="5"/>
  <c r="BC10" i="5"/>
  <c r="B266" i="1" s="1"/>
  <c r="BA10" i="5"/>
  <c r="AV10" i="5"/>
  <c r="AM10" i="5"/>
  <c r="AL10" i="5"/>
  <c r="B259" i="1" s="1"/>
  <c r="AK10" i="5"/>
  <c r="V10" i="5"/>
  <c r="U10" i="5"/>
  <c r="T10" i="5"/>
  <c r="S10" i="5"/>
  <c r="R10" i="5"/>
  <c r="Q10" i="5"/>
  <c r="P10" i="5"/>
  <c r="B407" i="1" s="1"/>
  <c r="O10" i="5"/>
  <c r="N10" i="5"/>
  <c r="B406" i="1" s="1"/>
  <c r="M10" i="5"/>
  <c r="L10" i="5"/>
  <c r="B405" i="1" s="1"/>
  <c r="K10" i="5"/>
  <c r="J10" i="5"/>
  <c r="B404" i="1" s="1"/>
  <c r="I10" i="5"/>
  <c r="H10" i="5"/>
  <c r="G10" i="5"/>
  <c r="D10" i="5"/>
  <c r="B52" i="1" s="1"/>
  <c r="C10" i="5"/>
  <c r="FI9" i="5"/>
  <c r="FH9" i="5"/>
  <c r="FG9" i="5"/>
  <c r="FF9" i="5"/>
  <c r="FE9" i="5"/>
  <c r="FD9" i="5"/>
  <c r="FC9" i="5"/>
  <c r="EW9" i="5"/>
  <c r="EV9" i="5"/>
  <c r="EU9" i="5"/>
  <c r="ET9" i="5"/>
  <c r="ES9" i="5"/>
  <c r="ER9" i="5"/>
  <c r="EQ9" i="5"/>
  <c r="EP9" i="5"/>
  <c r="EO9" i="5"/>
  <c r="EN9" i="5"/>
  <c r="EM9" i="5"/>
  <c r="EL9" i="5"/>
  <c r="EK9" i="5"/>
  <c r="EJ9" i="5"/>
  <c r="EI9" i="5"/>
  <c r="EE9" i="5"/>
  <c r="ED9" i="5"/>
  <c r="EC9" i="5"/>
  <c r="DY9" i="5"/>
  <c r="DW9" i="5"/>
  <c r="DV9" i="5"/>
  <c r="DT9" i="5"/>
  <c r="DP9" i="5"/>
  <c r="CP9" i="5"/>
  <c r="CO9" i="5"/>
  <c r="CN9" i="5"/>
  <c r="CM9" i="5"/>
  <c r="BW9" i="5"/>
  <c r="BV9" i="5"/>
  <c r="BT9" i="5"/>
  <c r="BN9" i="5"/>
  <c r="BD9" i="5"/>
  <c r="BC9" i="5"/>
  <c r="BA9" i="5"/>
  <c r="AV9" i="5"/>
  <c r="AM9" i="5"/>
  <c r="AL9" i="5"/>
  <c r="AK9" i="5"/>
  <c r="V9" i="5"/>
  <c r="U9" i="5"/>
  <c r="T9" i="5"/>
  <c r="S9" i="5"/>
  <c r="R9" i="5"/>
  <c r="Q9" i="5"/>
  <c r="P9" i="5"/>
  <c r="O9" i="5"/>
  <c r="N9" i="5"/>
  <c r="M9" i="5"/>
  <c r="L9" i="5"/>
  <c r="K9" i="5"/>
  <c r="J9" i="5"/>
  <c r="I9" i="5"/>
  <c r="H9" i="5"/>
  <c r="G9" i="5"/>
  <c r="D9" i="5"/>
  <c r="B51" i="1" s="1"/>
  <c r="C9" i="5"/>
  <c r="FI8" i="5"/>
  <c r="FH8" i="5"/>
  <c r="FG8" i="5"/>
  <c r="FF8" i="5"/>
  <c r="FE8" i="5"/>
  <c r="FD8" i="5"/>
  <c r="FC8" i="5"/>
  <c r="EW8" i="5"/>
  <c r="EV8" i="5"/>
  <c r="EU8" i="5"/>
  <c r="ET8" i="5"/>
  <c r="ES8" i="5"/>
  <c r="ER8" i="5"/>
  <c r="EQ8" i="5"/>
  <c r="EP8" i="5"/>
  <c r="EO8" i="5"/>
  <c r="EN8" i="5"/>
  <c r="EM8" i="5"/>
  <c r="EL8" i="5"/>
  <c r="EK8" i="5"/>
  <c r="EJ8" i="5"/>
  <c r="EI8" i="5"/>
  <c r="EE8" i="5"/>
  <c r="ED8" i="5"/>
  <c r="EC8" i="5"/>
  <c r="DY8" i="5"/>
  <c r="DW8" i="5"/>
  <c r="DV8" i="5"/>
  <c r="DT8" i="5"/>
  <c r="CP8" i="5"/>
  <c r="CO8" i="5"/>
  <c r="CN8" i="5"/>
  <c r="CM8" i="5"/>
  <c r="BW8" i="5"/>
  <c r="BV8" i="5"/>
  <c r="BT8" i="5"/>
  <c r="BN8" i="5"/>
  <c r="BD8" i="5"/>
  <c r="BC8" i="5"/>
  <c r="BA8" i="5"/>
  <c r="AV8" i="5"/>
  <c r="AM8" i="5"/>
  <c r="AL8" i="5"/>
  <c r="AK8" i="5"/>
  <c r="V8" i="5"/>
  <c r="U8" i="5"/>
  <c r="T8" i="5"/>
  <c r="S8" i="5"/>
  <c r="R8" i="5"/>
  <c r="Q8" i="5"/>
  <c r="P8" i="5"/>
  <c r="O8" i="5"/>
  <c r="N8" i="5"/>
  <c r="M8" i="5"/>
  <c r="L8" i="5"/>
  <c r="K8" i="5"/>
  <c r="J8" i="5"/>
  <c r="I8" i="5"/>
  <c r="H8" i="5"/>
  <c r="G8" i="5"/>
  <c r="D8" i="5"/>
  <c r="C8" i="5"/>
  <c r="FQ6" i="5"/>
  <c r="FQ7" i="5" s="1"/>
  <c r="FP6" i="5"/>
  <c r="FP7" i="5" s="1"/>
  <c r="FO6" i="5"/>
  <c r="FO7" i="5" s="1"/>
  <c r="FN6" i="5"/>
  <c r="FN7" i="5" s="1"/>
  <c r="EW6" i="5"/>
  <c r="EW7" i="5" s="1"/>
  <c r="EV6" i="5"/>
  <c r="EV7" i="5" s="1"/>
  <c r="EU6" i="5"/>
  <c r="EU7" i="5" s="1"/>
  <c r="ET6" i="5"/>
  <c r="ET7" i="5" s="1"/>
  <c r="ES6" i="5"/>
  <c r="ES7" i="5" s="1"/>
  <c r="ER6" i="5"/>
  <c r="ER7" i="5" s="1"/>
  <c r="EQ6" i="5"/>
  <c r="EQ7" i="5" s="1"/>
  <c r="EP6" i="5"/>
  <c r="EP7" i="5" s="1"/>
  <c r="EO6" i="5"/>
  <c r="EO7" i="5" s="1"/>
  <c r="EN6" i="5"/>
  <c r="EN7" i="5" s="1"/>
  <c r="EM6" i="5"/>
  <c r="EM7" i="5" s="1"/>
  <c r="EL6" i="5"/>
  <c r="EL7" i="5" s="1"/>
  <c r="EK6" i="5"/>
  <c r="EK7" i="5" s="1"/>
  <c r="EJ6" i="5"/>
  <c r="EJ7" i="5" s="1"/>
  <c r="EI6" i="5"/>
  <c r="EI7" i="5" s="1"/>
  <c r="EE6" i="5"/>
  <c r="EE7" i="5" s="1"/>
  <c r="ED6" i="5"/>
  <c r="ED7" i="5" s="1"/>
  <c r="EC6" i="5"/>
  <c r="EC7" i="5" s="1"/>
  <c r="DY6" i="5"/>
  <c r="DY7" i="5" s="1"/>
  <c r="DW6" i="5"/>
  <c r="DW7" i="5" s="1"/>
  <c r="DV6" i="5"/>
  <c r="DV7" i="5" s="1"/>
  <c r="DU6" i="5"/>
  <c r="DU7" i="5" s="1"/>
  <c r="DT6" i="5"/>
  <c r="DT7" i="5" s="1"/>
  <c r="DR6" i="5"/>
  <c r="DR7" i="5" s="1"/>
  <c r="DP6" i="5"/>
  <c r="DP7" i="5" s="1"/>
  <c r="DO6" i="5"/>
  <c r="DO7" i="5" s="1"/>
  <c r="DN6" i="5"/>
  <c r="DN7" i="5" s="1"/>
  <c r="CT6" i="5"/>
  <c r="CT7" i="5" s="1"/>
  <c r="CO6" i="5"/>
  <c r="CO7" i="5" s="1"/>
  <c r="CN6" i="5"/>
  <c r="CN7" i="5" s="1"/>
  <c r="CM6" i="5"/>
  <c r="CM7" i="5" s="1"/>
  <c r="CK6" i="5"/>
  <c r="CK7" i="5" s="1"/>
  <c r="CJ6" i="5"/>
  <c r="CJ7" i="5" s="1"/>
  <c r="CF6" i="5"/>
  <c r="CF7" i="5" s="1"/>
  <c r="CE6" i="5"/>
  <c r="CE7" i="5" s="1"/>
  <c r="CD6" i="5"/>
  <c r="CD7" i="5" s="1"/>
  <c r="CC6" i="5"/>
  <c r="CC7" i="5" s="1"/>
  <c r="CB6" i="5"/>
  <c r="CB7" i="5" s="1"/>
  <c r="CA6" i="5"/>
  <c r="CA7" i="5" s="1"/>
  <c r="BW6" i="5"/>
  <c r="BW7" i="5" s="1"/>
  <c r="BV6" i="5"/>
  <c r="BV7" i="5" s="1"/>
  <c r="BT6" i="5"/>
  <c r="BT7" i="5" s="1"/>
  <c r="BP6" i="5"/>
  <c r="BP7" i="5" s="1"/>
  <c r="BO6" i="5"/>
  <c r="BO7" i="5" s="1"/>
  <c r="BN6" i="5"/>
  <c r="BN7" i="5" s="1"/>
  <c r="BM6" i="5"/>
  <c r="BM7" i="5" s="1"/>
  <c r="BL6" i="5"/>
  <c r="BL7" i="5" s="1"/>
  <c r="BK6" i="5"/>
  <c r="BK7" i="5" s="1"/>
  <c r="BJ6" i="5"/>
  <c r="BJ7" i="5" s="1"/>
  <c r="BI6" i="5"/>
  <c r="BI7" i="5" s="1"/>
  <c r="BH6" i="5"/>
  <c r="BH7" i="5" s="1"/>
  <c r="BD6" i="5"/>
  <c r="BD7" i="5" s="1"/>
  <c r="BC6" i="5"/>
  <c r="BC7" i="5" s="1"/>
  <c r="BB6" i="5"/>
  <c r="BB7" i="5" s="1"/>
  <c r="BA6" i="5"/>
  <c r="BA7" i="5" s="1"/>
  <c r="AW6" i="5"/>
  <c r="AW7" i="5" s="1"/>
  <c r="AV6" i="5"/>
  <c r="AV7" i="5" s="1"/>
  <c r="AU6" i="5"/>
  <c r="AU7" i="5" s="1"/>
  <c r="AT6" i="5"/>
  <c r="AT7" i="5" s="1"/>
  <c r="AS6" i="5"/>
  <c r="AS7" i="5" s="1"/>
  <c r="AR6" i="5"/>
  <c r="AR7" i="5" s="1"/>
  <c r="AQ6" i="5"/>
  <c r="AQ7" i="5" s="1"/>
  <c r="AM6" i="5"/>
  <c r="AM7" i="5" s="1"/>
  <c r="AL6" i="5"/>
  <c r="AL7" i="5" s="1"/>
  <c r="AK6" i="5"/>
  <c r="AK7" i="5" s="1"/>
  <c r="AB6" i="5"/>
  <c r="AB7" i="5" s="1"/>
  <c r="AA6" i="5"/>
  <c r="AA7" i="5" s="1"/>
  <c r="Z6" i="5"/>
  <c r="Z7" i="5" s="1"/>
  <c r="Y6" i="5"/>
  <c r="Y7" i="5" s="1"/>
  <c r="V6" i="5"/>
  <c r="V7" i="5" s="1"/>
  <c r="U6" i="5"/>
  <c r="U7" i="5" s="1"/>
  <c r="T6" i="5"/>
  <c r="T7" i="5" s="1"/>
  <c r="S6" i="5"/>
  <c r="S7" i="5" s="1"/>
  <c r="R6" i="5"/>
  <c r="R7" i="5" s="1"/>
  <c r="Q6" i="5"/>
  <c r="Q7" i="5" s="1"/>
  <c r="P6" i="5"/>
  <c r="P7" i="5" s="1"/>
  <c r="O6" i="5"/>
  <c r="O7" i="5" s="1"/>
  <c r="N6" i="5"/>
  <c r="N7" i="5" s="1"/>
  <c r="M6" i="5"/>
  <c r="M7" i="5" s="1"/>
  <c r="L6" i="5"/>
  <c r="L7" i="5" s="1"/>
  <c r="K6" i="5"/>
  <c r="K7" i="5" s="1"/>
  <c r="J6" i="5"/>
  <c r="J7" i="5" s="1"/>
  <c r="I6" i="5"/>
  <c r="I7" i="5" s="1"/>
  <c r="H6" i="5"/>
  <c r="H7" i="5" s="1"/>
  <c r="G6" i="5"/>
  <c r="G7" i="5" s="1"/>
  <c r="D6" i="5"/>
  <c r="D7" i="5" s="1"/>
  <c r="C6" i="5"/>
  <c r="C7" i="5" s="1"/>
  <c r="FQ5" i="5"/>
  <c r="FP5" i="5"/>
  <c r="FO5" i="5"/>
  <c r="FN5" i="5"/>
  <c r="EW5" i="5"/>
  <c r="EV5" i="5"/>
  <c r="EU5" i="5"/>
  <c r="ET5" i="5"/>
  <c r="ES5" i="5"/>
  <c r="ER5" i="5"/>
  <c r="EQ5" i="5"/>
  <c r="EP5" i="5"/>
  <c r="EO5" i="5"/>
  <c r="EN5" i="5"/>
  <c r="EM5" i="5"/>
  <c r="EL5" i="5"/>
  <c r="EK5" i="5"/>
  <c r="EJ5" i="5"/>
  <c r="EI5" i="5"/>
  <c r="EE5" i="5"/>
  <c r="ED5" i="5"/>
  <c r="EC5" i="5"/>
  <c r="DY5" i="5"/>
  <c r="DW5" i="5"/>
  <c r="DV5" i="5"/>
  <c r="B495" i="1" s="1"/>
  <c r="DT5" i="5"/>
  <c r="DR5" i="5"/>
  <c r="DP5" i="5"/>
  <c r="DP8" i="5" s="1"/>
  <c r="DO5" i="5"/>
  <c r="DN5" i="5"/>
  <c r="CT5" i="5"/>
  <c r="CP5" i="5"/>
  <c r="CO5" i="5"/>
  <c r="CN5" i="5"/>
  <c r="CM5" i="5"/>
  <c r="CK5" i="5"/>
  <c r="CJ5" i="5"/>
  <c r="CF5" i="5"/>
  <c r="CE5" i="5"/>
  <c r="CD5" i="5"/>
  <c r="CC5" i="5"/>
  <c r="CB5" i="5"/>
  <c r="CA5" i="5"/>
  <c r="BW5" i="5"/>
  <c r="BV5" i="5"/>
  <c r="B272" i="1" s="1"/>
  <c r="BT5" i="5"/>
  <c r="BP5" i="5"/>
  <c r="BO5" i="5"/>
  <c r="BN5" i="5"/>
  <c r="BM5" i="5"/>
  <c r="BL5" i="5"/>
  <c r="BK5" i="5"/>
  <c r="BJ5" i="5"/>
  <c r="BI5" i="5"/>
  <c r="BH5" i="5"/>
  <c r="BD5" i="5"/>
  <c r="BC5" i="5"/>
  <c r="B265" i="1" s="1"/>
  <c r="BB5" i="5"/>
  <c r="B255" i="1" s="1"/>
  <c r="BA5" i="5"/>
  <c r="AW5" i="5"/>
  <c r="AV5" i="5"/>
  <c r="AU5" i="5"/>
  <c r="AT5" i="5"/>
  <c r="AS5" i="5"/>
  <c r="AR5" i="5"/>
  <c r="AQ5" i="5"/>
  <c r="AM5" i="5"/>
  <c r="AL5" i="5"/>
  <c r="B258" i="1" s="1"/>
  <c r="AK5" i="5"/>
  <c r="AB5" i="5"/>
  <c r="AA5" i="5"/>
  <c r="Z5" i="5"/>
  <c r="Y5" i="5"/>
  <c r="V5" i="5"/>
  <c r="U5" i="5"/>
  <c r="T5" i="5"/>
  <c r="S5" i="5"/>
  <c r="R5" i="5"/>
  <c r="Q5" i="5"/>
  <c r="P5" i="5"/>
  <c r="O5" i="5"/>
  <c r="N5" i="5"/>
  <c r="M5" i="5"/>
  <c r="L5" i="5"/>
  <c r="K5" i="5"/>
  <c r="J5" i="5"/>
  <c r="I5" i="5"/>
  <c r="H5" i="5"/>
  <c r="G5" i="5"/>
  <c r="D5" i="5"/>
  <c r="C5" i="5"/>
  <c r="E14" i="13" l="1"/>
  <c r="F21" i="13"/>
  <c r="K14" i="13"/>
  <c r="L21" i="13"/>
  <c r="N21" i="13" s="1"/>
  <c r="Q14" i="13"/>
  <c r="DR8" i="5"/>
  <c r="B587" i="1"/>
  <c r="AC8" i="5"/>
  <c r="AE8" i="5"/>
  <c r="AG8" i="5"/>
  <c r="B254" i="1" s="1"/>
  <c r="AD9" i="5"/>
  <c r="AF9" i="5"/>
  <c r="AD8" i="5"/>
  <c r="AF8" i="5"/>
  <c r="B253" i="1" s="1"/>
  <c r="AC9" i="5"/>
  <c r="AE9" i="5"/>
  <c r="AG9" i="5"/>
  <c r="N5" i="7"/>
  <c r="N9" i="7" s="1"/>
  <c r="N7" i="7"/>
  <c r="H21" i="13"/>
  <c r="C21" i="13"/>
  <c r="I21" i="13"/>
  <c r="O21" i="13"/>
  <c r="H14" i="13"/>
  <c r="N14" i="13"/>
  <c r="E7" i="7"/>
  <c r="C7" i="7"/>
  <c r="W7" i="7"/>
  <c r="R7" i="7"/>
  <c r="AD7" i="7"/>
  <c r="J7" i="7"/>
  <c r="D7" i="7"/>
  <c r="EH25" i="5"/>
  <c r="BZ25" i="5"/>
  <c r="CI25" i="5"/>
  <c r="EH27" i="5"/>
  <c r="BZ27" i="5"/>
  <c r="CI27" i="5"/>
  <c r="EH24" i="5"/>
  <c r="BZ24" i="5"/>
  <c r="CI24" i="5"/>
  <c r="CI23" i="5"/>
  <c r="EH23" i="5"/>
  <c r="BZ23" i="5"/>
  <c r="EH26" i="5"/>
  <c r="BZ26" i="5"/>
  <c r="CI26" i="5"/>
  <c r="CS24" i="14"/>
  <c r="DF24" i="14" s="1"/>
  <c r="DL24" i="14" s="1"/>
  <c r="CL24" i="14"/>
  <c r="EU24" i="14"/>
  <c r="FF24" i="14" s="1"/>
  <c r="DU24" i="14"/>
  <c r="EA25" i="14"/>
  <c r="BZ25" i="14"/>
  <c r="CI25" i="14"/>
  <c r="EA17" i="14"/>
  <c r="CI17" i="14"/>
  <c r="BZ17" i="14"/>
  <c r="EU19" i="14"/>
  <c r="FF19" i="14" s="1"/>
  <c r="DU19" i="14"/>
  <c r="CS26" i="14"/>
  <c r="DF26" i="14" s="1"/>
  <c r="DL26" i="14" s="1"/>
  <c r="CL26" i="14"/>
  <c r="BG5" i="14"/>
  <c r="BG6" i="14"/>
  <c r="BG7" i="14" s="1"/>
  <c r="CI27" i="14"/>
  <c r="EA27" i="14"/>
  <c r="BZ27" i="14"/>
  <c r="CI14" i="14"/>
  <c r="EA14" i="14"/>
  <c r="BZ14" i="14"/>
  <c r="EA16" i="14"/>
  <c r="BZ16" i="14"/>
  <c r="CI16" i="14"/>
  <c r="BZ18" i="14"/>
  <c r="EA18" i="14"/>
  <c r="CI18" i="14"/>
  <c r="EA22" i="14"/>
  <c r="BZ22" i="14"/>
  <c r="CI22" i="14"/>
  <c r="CS19" i="14"/>
  <c r="DF19" i="14" s="1"/>
  <c r="DL19" i="14" s="1"/>
  <c r="CL19" i="14"/>
  <c r="EA21" i="14"/>
  <c r="BZ21" i="14"/>
  <c r="CI21" i="14"/>
  <c r="EA23" i="14"/>
  <c r="BZ23" i="14"/>
  <c r="CI23" i="14"/>
  <c r="EU26" i="14"/>
  <c r="FF26" i="14" s="1"/>
  <c r="DU26" i="14"/>
  <c r="EA13" i="14"/>
  <c r="BZ13" i="14"/>
  <c r="CI13" i="14"/>
  <c r="EA15" i="14"/>
  <c r="BZ15" i="14"/>
  <c r="CI15" i="14"/>
  <c r="EA20" i="14"/>
  <c r="BZ20" i="14"/>
  <c r="CI20" i="14"/>
  <c r="EY6" i="5"/>
  <c r="EY7" i="5" s="1"/>
  <c r="DU5" i="5"/>
  <c r="B588" i="1" s="1"/>
  <c r="CP6" i="5"/>
  <c r="CP7" i="5" s="1"/>
  <c r="F5" i="5"/>
  <c r="F6" i="5"/>
  <c r="F7" i="5" s="1"/>
  <c r="AG6" i="7"/>
  <c r="AG5" i="7" s="1"/>
  <c r="V6" i="7"/>
  <c r="V5" i="7" s="1"/>
  <c r="I6" i="7"/>
  <c r="I7" i="7" s="1"/>
  <c r="AC6" i="7"/>
  <c r="AC5" i="7" s="1"/>
  <c r="M6" i="7"/>
  <c r="M5" i="7" s="1"/>
  <c r="E21" i="13"/>
  <c r="K21" i="13"/>
  <c r="Q21" i="13"/>
  <c r="E8" i="13"/>
  <c r="K8" i="13"/>
  <c r="Q8" i="13"/>
  <c r="H8" i="13"/>
  <c r="N8" i="13"/>
  <c r="J8" i="7"/>
  <c r="J10" i="7"/>
  <c r="J9" i="7"/>
  <c r="E9" i="7"/>
  <c r="E8" i="7"/>
  <c r="E10" i="7"/>
  <c r="C9" i="7"/>
  <c r="C8" i="7"/>
  <c r="C10" i="7"/>
  <c r="AD9" i="7"/>
  <c r="AD8" i="7"/>
  <c r="AD10" i="7"/>
  <c r="W8" i="7"/>
  <c r="W10" i="7"/>
  <c r="W9" i="7"/>
  <c r="R9" i="7"/>
  <c r="R8" i="7"/>
  <c r="R10" i="7"/>
  <c r="N10" i="7"/>
  <c r="D8" i="7"/>
  <c r="D10" i="7"/>
  <c r="D9" i="7"/>
  <c r="EY11" i="5"/>
  <c r="EY5" i="5"/>
  <c r="EY10" i="5"/>
  <c r="B497" i="1" s="1"/>
  <c r="EY8" i="5"/>
  <c r="EK10" i="5"/>
  <c r="EM10" i="5"/>
  <c r="AM11" i="5"/>
  <c r="FH5" i="5"/>
  <c r="FH11" i="5"/>
  <c r="F9" i="5"/>
  <c r="B55" i="1" s="1"/>
  <c r="F10" i="5"/>
  <c r="B56" i="1" s="1"/>
  <c r="BE6" i="5"/>
  <c r="BE7" i="5" s="1"/>
  <c r="BE5" i="5"/>
  <c r="AN6" i="5"/>
  <c r="AN7" i="5" s="1"/>
  <c r="AN5" i="5"/>
  <c r="BX9" i="5"/>
  <c r="BX11" i="5"/>
  <c r="BX10" i="5"/>
  <c r="BX8" i="5"/>
  <c r="BX6" i="5"/>
  <c r="BX7" i="5" s="1"/>
  <c r="BX5" i="5"/>
  <c r="F8" i="5"/>
  <c r="Y8" i="5"/>
  <c r="B246" i="1" s="1"/>
  <c r="Y9" i="5"/>
  <c r="AA10" i="5"/>
  <c r="AA8" i="5"/>
  <c r="AA9" i="5"/>
  <c r="AQ10" i="5"/>
  <c r="AQ8" i="5"/>
  <c r="AQ11" i="5"/>
  <c r="AQ9" i="5"/>
  <c r="AS10" i="5"/>
  <c r="AS8" i="5"/>
  <c r="AS11" i="5"/>
  <c r="AS9" i="5"/>
  <c r="AU10" i="5"/>
  <c r="AU8" i="5"/>
  <c r="AU11" i="5"/>
  <c r="AU9" i="5"/>
  <c r="AW10" i="5"/>
  <c r="AW8" i="5"/>
  <c r="AW11" i="5"/>
  <c r="AW9" i="5"/>
  <c r="BH9" i="5"/>
  <c r="BH11" i="5"/>
  <c r="BH10" i="5"/>
  <c r="BH8" i="5"/>
  <c r="BJ9" i="5"/>
  <c r="BJ11" i="5"/>
  <c r="BJ10" i="5"/>
  <c r="BJ8" i="5"/>
  <c r="BL9" i="5"/>
  <c r="B269" i="1" s="1"/>
  <c r="BL11" i="5"/>
  <c r="BL10" i="5"/>
  <c r="B270" i="1" s="1"/>
  <c r="BL8" i="5"/>
  <c r="B268" i="1" s="1"/>
  <c r="BP9" i="5"/>
  <c r="BP11" i="5"/>
  <c r="BP10" i="5"/>
  <c r="BP8" i="5"/>
  <c r="CB11" i="5"/>
  <c r="CB10" i="5"/>
  <c r="CB8" i="5"/>
  <c r="CB9" i="5"/>
  <c r="CD11" i="5"/>
  <c r="CD10" i="5"/>
  <c r="CD8" i="5"/>
  <c r="CD9" i="5"/>
  <c r="CF11" i="5"/>
  <c r="CF10" i="5"/>
  <c r="CF8" i="5"/>
  <c r="CF9" i="5"/>
  <c r="CK11" i="5"/>
  <c r="CK10" i="5"/>
  <c r="CK8" i="5"/>
  <c r="CK9" i="5"/>
  <c r="CT9" i="5"/>
  <c r="CT10" i="5"/>
  <c r="CT8" i="5"/>
  <c r="DN9" i="5"/>
  <c r="DN11" i="5"/>
  <c r="DN10" i="5"/>
  <c r="DN8" i="5"/>
  <c r="BY11" i="5"/>
  <c r="BY10" i="5"/>
  <c r="B274" i="1" s="1"/>
  <c r="BY8" i="5"/>
  <c r="BY9" i="5"/>
  <c r="BF8" i="5"/>
  <c r="BE11" i="5"/>
  <c r="BE9" i="5"/>
  <c r="BE10" i="5"/>
  <c r="BE8" i="5"/>
  <c r="Z9" i="5"/>
  <c r="B249" i="1" s="1"/>
  <c r="Z8" i="5"/>
  <c r="B248" i="1" s="1"/>
  <c r="AB9" i="5"/>
  <c r="B251" i="1" s="1"/>
  <c r="AB8" i="5"/>
  <c r="B250" i="1" s="1"/>
  <c r="AR11" i="5"/>
  <c r="AR9" i="5"/>
  <c r="AR10" i="5"/>
  <c r="AR8" i="5"/>
  <c r="AT11" i="5"/>
  <c r="AT9" i="5"/>
  <c r="B262" i="1" s="1"/>
  <c r="AT10" i="5"/>
  <c r="B263" i="1" s="1"/>
  <c r="AT8" i="5"/>
  <c r="B261" i="1" s="1"/>
  <c r="BI11" i="5"/>
  <c r="BI10" i="5"/>
  <c r="BI8" i="5"/>
  <c r="BI9" i="5"/>
  <c r="BK11" i="5"/>
  <c r="BK10" i="5"/>
  <c r="BK8" i="5"/>
  <c r="BK9" i="5"/>
  <c r="BM11" i="5"/>
  <c r="BM10" i="5"/>
  <c r="BM8" i="5"/>
  <c r="BM9" i="5"/>
  <c r="BO11" i="5"/>
  <c r="BO10" i="5"/>
  <c r="BO8" i="5"/>
  <c r="BO9" i="5"/>
  <c r="CA9" i="5"/>
  <c r="CA11" i="5"/>
  <c r="CA10" i="5"/>
  <c r="CA8" i="5"/>
  <c r="CC9" i="5"/>
  <c r="CC11" i="5"/>
  <c r="CC10" i="5"/>
  <c r="CC8" i="5"/>
  <c r="CE9" i="5"/>
  <c r="B276" i="1" s="1"/>
  <c r="CE11" i="5"/>
  <c r="CE10" i="5"/>
  <c r="B277" i="1" s="1"/>
  <c r="CE8" i="5"/>
  <c r="B275" i="1" s="1"/>
  <c r="CJ9" i="5"/>
  <c r="CJ11" i="5"/>
  <c r="CJ10" i="5"/>
  <c r="CJ8" i="5"/>
  <c r="DO11" i="5"/>
  <c r="DO10" i="5"/>
  <c r="DO8" i="5"/>
  <c r="DO9" i="5"/>
  <c r="AN10" i="5"/>
  <c r="AN8" i="5"/>
  <c r="AN11" i="5"/>
  <c r="AN9" i="5"/>
  <c r="BF10" i="5"/>
  <c r="BF9" i="5"/>
  <c r="AB10" i="5" l="1"/>
  <c r="AC10" i="5"/>
  <c r="AE10" i="5"/>
  <c r="AG10" i="5"/>
  <c r="AD10" i="5"/>
  <c r="AF10" i="5"/>
  <c r="N8" i="7"/>
  <c r="AG7" i="7"/>
  <c r="V7" i="7"/>
  <c r="AC7" i="7"/>
  <c r="M7" i="7"/>
  <c r="I5" i="7"/>
  <c r="I8" i="7" s="1"/>
  <c r="CS23" i="5"/>
  <c r="DM23" i="5" s="1"/>
  <c r="DS23" i="5" s="1"/>
  <c r="CL23" i="5"/>
  <c r="CS24" i="5"/>
  <c r="DM24" i="5" s="1"/>
  <c r="DS24" i="5" s="1"/>
  <c r="CL24" i="5"/>
  <c r="FA24" i="5"/>
  <c r="FL24" i="5" s="1"/>
  <c r="EB24" i="5"/>
  <c r="CS27" i="5"/>
  <c r="DM27" i="5" s="1"/>
  <c r="DS27" i="5" s="1"/>
  <c r="CL27" i="5"/>
  <c r="FA27" i="5"/>
  <c r="FL27" i="5" s="1"/>
  <c r="EB27" i="5"/>
  <c r="CS26" i="5"/>
  <c r="DM26" i="5" s="1"/>
  <c r="DS26" i="5" s="1"/>
  <c r="CL26" i="5"/>
  <c r="FA26" i="5"/>
  <c r="FL26" i="5" s="1"/>
  <c r="EB26" i="5"/>
  <c r="FA23" i="5"/>
  <c r="FL23" i="5" s="1"/>
  <c r="EB23" i="5"/>
  <c r="CS25" i="5"/>
  <c r="DM25" i="5" s="1"/>
  <c r="DS25" i="5" s="1"/>
  <c r="CL25" i="5"/>
  <c r="FA25" i="5"/>
  <c r="FL25" i="5" s="1"/>
  <c r="EB25" i="5"/>
  <c r="CS15" i="14"/>
  <c r="DF15" i="14" s="1"/>
  <c r="DL15" i="14" s="1"/>
  <c r="CL15" i="14"/>
  <c r="EU15" i="14"/>
  <c r="FF15" i="14" s="1"/>
  <c r="DU15" i="14"/>
  <c r="BZ6" i="14"/>
  <c r="BZ7" i="14" s="1"/>
  <c r="BZ5" i="14"/>
  <c r="CS23" i="14"/>
  <c r="DF23" i="14" s="1"/>
  <c r="DL23" i="14" s="1"/>
  <c r="CL23" i="14"/>
  <c r="EU23" i="14"/>
  <c r="FF23" i="14" s="1"/>
  <c r="DU23" i="14"/>
  <c r="CS22" i="14"/>
  <c r="DF22" i="14" s="1"/>
  <c r="DL22" i="14" s="1"/>
  <c r="CL22" i="14"/>
  <c r="EU22" i="14"/>
  <c r="FF22" i="14" s="1"/>
  <c r="DU22" i="14"/>
  <c r="EU18" i="14"/>
  <c r="FF18" i="14" s="1"/>
  <c r="DU18" i="14"/>
  <c r="CS16" i="14"/>
  <c r="DF16" i="14" s="1"/>
  <c r="DL16" i="14" s="1"/>
  <c r="CL16" i="14"/>
  <c r="EU16" i="14"/>
  <c r="FF16" i="14" s="1"/>
  <c r="DU16" i="14"/>
  <c r="EU14" i="14"/>
  <c r="FF14" i="14" s="1"/>
  <c r="DU14" i="14"/>
  <c r="CS27" i="14"/>
  <c r="DF27" i="14" s="1"/>
  <c r="DL27" i="14" s="1"/>
  <c r="CL27" i="14"/>
  <c r="CS17" i="14"/>
  <c r="DF17" i="14" s="1"/>
  <c r="DL17" i="14" s="1"/>
  <c r="CL17" i="14"/>
  <c r="CS25" i="14"/>
  <c r="DF25" i="14" s="1"/>
  <c r="DL25" i="14" s="1"/>
  <c r="CL25" i="14"/>
  <c r="EU25" i="14"/>
  <c r="FF25" i="14" s="1"/>
  <c r="DU25" i="14"/>
  <c r="CS20" i="14"/>
  <c r="DF20" i="14" s="1"/>
  <c r="DL20" i="14" s="1"/>
  <c r="CL20" i="14"/>
  <c r="EU20" i="14"/>
  <c r="FF20" i="14" s="1"/>
  <c r="DU20" i="14"/>
  <c r="CS13" i="14"/>
  <c r="DF13" i="14" s="1"/>
  <c r="DL13" i="14" s="1"/>
  <c r="CL13" i="14"/>
  <c r="EU13" i="14"/>
  <c r="FF13" i="14" s="1"/>
  <c r="DU13" i="14"/>
  <c r="CS21" i="14"/>
  <c r="DF21" i="14" s="1"/>
  <c r="DL21" i="14" s="1"/>
  <c r="CL21" i="14"/>
  <c r="EU21" i="14"/>
  <c r="FF21" i="14" s="1"/>
  <c r="DU21" i="14"/>
  <c r="CS18" i="14"/>
  <c r="DF18" i="14" s="1"/>
  <c r="DL18" i="14" s="1"/>
  <c r="CL18" i="14"/>
  <c r="CS14" i="14"/>
  <c r="DF14" i="14" s="1"/>
  <c r="DL14" i="14" s="1"/>
  <c r="CL14" i="14"/>
  <c r="DU27" i="14"/>
  <c r="EU27" i="14"/>
  <c r="FF27" i="14" s="1"/>
  <c r="EU17" i="14"/>
  <c r="FF17" i="14" s="1"/>
  <c r="DU17" i="14"/>
  <c r="M9" i="7"/>
  <c r="M8" i="7"/>
  <c r="M10" i="7"/>
  <c r="I9" i="7"/>
  <c r="Q6" i="7"/>
  <c r="AC8" i="7"/>
  <c r="AC10" i="7"/>
  <c r="AC9" i="7"/>
  <c r="V9" i="7"/>
  <c r="V8" i="7"/>
  <c r="V10" i="7"/>
  <c r="AG9" i="7"/>
  <c r="AG8" i="7"/>
  <c r="AG10" i="7"/>
  <c r="BY6" i="5"/>
  <c r="BY7" i="5" s="1"/>
  <c r="BY5" i="5"/>
  <c r="AO11" i="5"/>
  <c r="AO9" i="5"/>
  <c r="AO10" i="5"/>
  <c r="AO8" i="5"/>
  <c r="AO5" i="5"/>
  <c r="B260" i="1" s="1"/>
  <c r="AO6" i="5"/>
  <c r="AO7" i="5" s="1"/>
  <c r="BF6" i="5"/>
  <c r="BF7" i="5" s="1"/>
  <c r="BF5" i="5"/>
  <c r="B267" i="1" s="1"/>
  <c r="I10" i="7" l="1"/>
  <c r="FB6" i="5"/>
  <c r="FB7" i="5" s="1"/>
  <c r="FB5" i="5"/>
  <c r="CL5" i="14"/>
  <c r="CL6" i="14"/>
  <c r="CL7" i="14" s="1"/>
  <c r="Q5" i="7"/>
  <c r="Q7" i="7"/>
  <c r="BG5" i="5"/>
  <c r="BG6" i="5"/>
  <c r="BG7" i="5" s="1"/>
  <c r="FM11" i="5" l="1"/>
  <c r="FM6" i="5"/>
  <c r="FM7" i="5" s="1"/>
  <c r="Q8" i="7"/>
  <c r="Q10" i="7"/>
  <c r="Q9" i="7"/>
  <c r="BZ6" i="5"/>
  <c r="BZ7" i="5" s="1"/>
  <c r="BZ5" i="5"/>
  <c r="CL5" i="5" l="1"/>
  <c r="CL6" i="5"/>
  <c r="CL7" i="5" s="1"/>
  <c r="DQ9" i="5"/>
  <c r="DQ10" i="5"/>
  <c r="DQ11" i="5"/>
  <c r="DQ6" i="5"/>
  <c r="DQ7" i="5" s="1"/>
  <c r="DQ5" i="5"/>
  <c r="DQ8" i="5" l="1"/>
</calcChain>
</file>

<file path=xl/comments1.xml><?xml version="1.0" encoding="utf-8"?>
<comments xmlns="http://schemas.openxmlformats.org/spreadsheetml/2006/main">
  <authors>
    <author>TOSHIBA</author>
  </authors>
  <commentList>
    <comment ref="DK8" authorId="0">
      <text>
        <r>
          <rPr>
            <b/>
            <sz val="9"/>
            <color indexed="81"/>
            <rFont val="Tahoma"/>
            <family val="2"/>
          </rPr>
          <t>TOSHIBA:</t>
        </r>
        <r>
          <rPr>
            <sz val="9"/>
            <color indexed="81"/>
            <rFont val="Tahoma"/>
            <family val="2"/>
          </rPr>
          <t xml:space="preserve">
CVPC N'AYANT PAS FAIT AG D'EXPRESSION BESOIN</t>
        </r>
      </text>
    </comment>
    <comment ref="DK9" authorId="0">
      <text>
        <r>
          <rPr>
            <b/>
            <sz val="9"/>
            <color indexed="81"/>
            <rFont val="Tahoma"/>
            <family val="2"/>
          </rPr>
          <t>TOSHIBA:</t>
        </r>
        <r>
          <rPr>
            <sz val="9"/>
            <color indexed="81"/>
            <rFont val="Tahoma"/>
            <family val="2"/>
          </rPr>
          <t xml:space="preserve">
CVPC AYANT FAIT AG EXPRESSION BESOIN</t>
        </r>
      </text>
    </comment>
    <comment ref="BB13" authorId="0">
      <text>
        <r>
          <rPr>
            <b/>
            <sz val="9"/>
            <color indexed="81"/>
            <rFont val="Tahoma"/>
            <family val="2"/>
          </rPr>
          <t>TOSHIBA:</t>
        </r>
        <r>
          <rPr>
            <sz val="9"/>
            <color indexed="81"/>
            <rFont val="Tahoma"/>
            <family val="2"/>
          </rPr>
          <t xml:space="preserve">
TG</t>
        </r>
      </text>
    </comment>
    <comment ref="CK22" authorId="0">
      <text>
        <r>
          <rPr>
            <b/>
            <sz val="9"/>
            <color indexed="81"/>
            <rFont val="Tahoma"/>
            <family val="2"/>
          </rPr>
          <t>TOSHIBA:</t>
        </r>
        <r>
          <rPr>
            <sz val="9"/>
            <color indexed="81"/>
            <rFont val="Tahoma"/>
            <family val="2"/>
          </rPr>
          <t xml:space="preserve">
ET 2</t>
        </r>
      </text>
    </comment>
    <comment ref="CK24" authorId="0">
      <text>
        <r>
          <rPr>
            <b/>
            <sz val="9"/>
            <color indexed="81"/>
            <rFont val="Tahoma"/>
            <family val="2"/>
          </rPr>
          <t>TOSHIBA:</t>
        </r>
        <r>
          <rPr>
            <sz val="9"/>
            <color indexed="81"/>
            <rFont val="Tahoma"/>
            <family val="2"/>
          </rPr>
          <t xml:space="preserve">
ET 2</t>
        </r>
      </text>
    </comment>
  </commentList>
</comments>
</file>

<file path=xl/sharedStrings.xml><?xml version="1.0" encoding="utf-8"?>
<sst xmlns="http://schemas.openxmlformats.org/spreadsheetml/2006/main" count="1739" uniqueCount="788">
  <si>
    <t>Période : ………………………………; commentaire</t>
  </si>
  <si>
    <t>Diffuser l'approche aux autres acteurs et à d'autres CVPC</t>
  </si>
  <si>
    <t>GESTION DES INTRANTS ET COMMERCIALISATION</t>
  </si>
  <si>
    <t xml:space="preserve"> 1. INTRODUCTION</t>
  </si>
  <si>
    <t>ATELIER COMMUNAL DE PLANIFICATION DES ACTIVITES DU CONSEILLER EN GESTION AUX OP</t>
  </si>
  <si>
    <t>Le présent atelier vise trois objectifs principaux à savoir :</t>
  </si>
  <si>
    <t>- Diffuser l'approche aux autres acteurs et à d'autres CVPC</t>
  </si>
  <si>
    <t>- Présentation et discussion du plan d'action annuel de 2011/2012 du Conseiller en Gestion aux OP du PADYP</t>
  </si>
  <si>
    <t xml:space="preserve">- Présentation et discussion des RESULTATS   
</t>
  </si>
  <si>
    <t>- Synthèse et ANALYSE des principaux PROBLEMES</t>
  </si>
  <si>
    <t>2. METHODOLOGIE DE L'ETUDE DE REFERENCE DES 15 CVPC RETENUES DANS LA COMMUNE</t>
  </si>
  <si>
    <t>DATE:</t>
  </si>
  <si>
    <t>Pourcentage de CVPC PADYP dans la Commune</t>
  </si>
  <si>
    <t>Poids des CVPC PADYP dans la production Communale (référence superficie)</t>
  </si>
  <si>
    <t>Poids des CVPC PADYP en terme de membres dans la Commune</t>
  </si>
  <si>
    <t>% CVPC ayant mis en place CA</t>
  </si>
  <si>
    <t>% de CVPC ayant mis en place CC</t>
  </si>
  <si>
    <t>% de CVPC ayant pourvu tous les postes du CA</t>
  </si>
  <si>
    <t>% de CVPC ayant pourvus tous les postes du CC</t>
  </si>
  <si>
    <t>% moyen d'élus alphabétisés en français dans les CVPC</t>
  </si>
  <si>
    <t>1- COMPOSITION DES COOPERATIVES VILLAGEOISES DE PRODUCTEURS DE COTON</t>
  </si>
  <si>
    <t>FONCTIONNEMENT DES ORGANES</t>
  </si>
  <si>
    <t>DESCRIPTION DES SERVICES AUX MEMBRES</t>
  </si>
  <si>
    <t xml:space="preserve">STATISTIQUE COTONNIERES CAMPAGNE 2010/2011 </t>
  </si>
  <si>
    <t>COMPOSITION DE LA CVPC ET COMPETENCE DU BUREAU</t>
  </si>
  <si>
    <t>DOCUMENT JURIDIQUE ET ORGANE MISE EN PLACE</t>
  </si>
  <si>
    <t>FONCTIONNEMENT ASSEMBLEE GENERALE</t>
  </si>
  <si>
    <t>FONCTIONNEMENT CONSEIL D'ADMINISTRATION</t>
  </si>
  <si>
    <t>FONCTIONNEMENT COMITE DE CONTRÔLE</t>
  </si>
  <si>
    <t>QUALITE DE MEMBRE</t>
  </si>
  <si>
    <t>DOCUMENT DE GESTION DISPONIBLES ET TENUE</t>
  </si>
  <si>
    <t xml:space="preserve">INFORMATION ET FORMATION </t>
  </si>
  <si>
    <t>Intrants</t>
  </si>
  <si>
    <t>Production cotonnière</t>
  </si>
  <si>
    <t>NIVEAU D'EQUIPEMENT</t>
  </si>
  <si>
    <t>VARIABLES</t>
  </si>
  <si>
    <t>Membres fondateurs</t>
  </si>
  <si>
    <t>Nombre de producteurs 
campagne 2010-2011</t>
  </si>
  <si>
    <t>Nombre d'élus</t>
  </si>
  <si>
    <t>Âge moyen des élus</t>
  </si>
  <si>
    <t>Nombre d'élus alphabétisés  
en français</t>
  </si>
  <si>
    <t>Pourcentage élus alphabétisé en français</t>
  </si>
  <si>
    <t xml:space="preserve"> membre bureau alphabétisés  
en français</t>
  </si>
  <si>
    <t xml:space="preserve"> % membre bureau alphabétisés  
en français</t>
  </si>
  <si>
    <t>Nombre d'élus alphabétisés 
en langue locale</t>
  </si>
  <si>
    <t>Pourcentage élus alphabétisé en langue locale</t>
  </si>
  <si>
    <t>Membre bureau alphabétisé en langue locale</t>
  </si>
  <si>
    <t xml:space="preserve"> % membre bureau alphabétisés  
en langue locale</t>
  </si>
  <si>
    <t>Nombre d'élus ayant fait le CEF</t>
  </si>
  <si>
    <t>Pourcentage élus CEF</t>
  </si>
  <si>
    <t>Nombre d'élus formés en 
comptabilité gestion</t>
  </si>
  <si>
    <t xml:space="preserve">Pourcentage élus comptabilité </t>
  </si>
  <si>
    <t>Nombre d'élus formés 
en gestion coopératives</t>
  </si>
  <si>
    <t>Pourcentage élus gestion coopérative</t>
  </si>
  <si>
    <t>OP enregistrée</t>
  </si>
  <si>
    <t>OP dispose de Statuts</t>
  </si>
  <si>
    <t>Origine des Statuts de l'OP</t>
  </si>
  <si>
    <t>Mode d'adoption des Statuts</t>
  </si>
  <si>
    <t>OP dispose de 
règlement intérieur</t>
  </si>
  <si>
    <t xml:space="preserve">Origine du
règlement intérieur
 </t>
  </si>
  <si>
    <t>Mode d'adoption du
règlement intérieur</t>
  </si>
  <si>
    <t>OP ayant mis en place
Conseil d'Administration</t>
  </si>
  <si>
    <t>OP ayant mis en place
Comité de contrôle</t>
  </si>
  <si>
    <t xml:space="preserve">Fréquence Statutaire
AGO
</t>
  </si>
  <si>
    <t>Nombre d'AG tenue 
en 2010/2011</t>
  </si>
  <si>
    <t>Effectifs participants 
AG 2010/2011</t>
  </si>
  <si>
    <t>Effectif moyen participants</t>
  </si>
  <si>
    <t>Taux participation membre AG</t>
  </si>
  <si>
    <t>Moyens d'information
membres tenue AG</t>
  </si>
  <si>
    <t>Délai d'information
membres tenue AG</t>
  </si>
  <si>
    <t>Mode délibération
AG</t>
  </si>
  <si>
    <t>Elaboration 
Procès Verbal AG</t>
  </si>
  <si>
    <t>Définition Quorum AG</t>
  </si>
  <si>
    <t>Valeur quorum AG</t>
  </si>
  <si>
    <t>Conservation décision AG</t>
  </si>
  <si>
    <t>Effectif membres CA</t>
  </si>
  <si>
    <t>Nombre de CA tenu 
2010/2011</t>
  </si>
  <si>
    <t>Effectifs participants 
CA 2010/2011</t>
  </si>
  <si>
    <t>Effectif moyen participant CA</t>
  </si>
  <si>
    <t>Pourcentage moyen de membres 
CA présent au réunion</t>
  </si>
  <si>
    <t>Mode d'élection membres CA</t>
  </si>
  <si>
    <t>Moyens d'information
membres tenue CA</t>
  </si>
  <si>
    <t>Délai d'information
membres tenue CA</t>
  </si>
  <si>
    <t>Mode délibération
CA</t>
  </si>
  <si>
    <t>Elaboration 
Procès Verbal CA</t>
  </si>
  <si>
    <t>Définition Quorum CA</t>
  </si>
  <si>
    <t>Valeur quorum CA</t>
  </si>
  <si>
    <t>Conservation décision CA</t>
  </si>
  <si>
    <t>Comment les décisions du CA 
sont -elles portés aux membres</t>
  </si>
  <si>
    <t>PARAMETRES</t>
  </si>
  <si>
    <t>Effectif des membres CC</t>
  </si>
  <si>
    <t>Nombre de CC tenue 2010/11</t>
  </si>
  <si>
    <t>Effectif participants CC</t>
  </si>
  <si>
    <t>Effectif moyen participant CC</t>
  </si>
  <si>
    <t>Pourccentage moyen participation CC</t>
  </si>
  <si>
    <t>PARAMETRES 2</t>
  </si>
  <si>
    <t>Mode d'élection membres CC</t>
  </si>
  <si>
    <t>Moyen d'information membre réunion CC</t>
  </si>
  <si>
    <t>Délai d'information membres CC</t>
  </si>
  <si>
    <t>Mode de délibération CC</t>
  </si>
  <si>
    <t>Elaboration PV CC</t>
  </si>
  <si>
    <t>Conservation décision CC</t>
  </si>
  <si>
    <t>Comment aquiert -on la qualité ?
 de membre</t>
  </si>
  <si>
    <t>Comment perd t-on la qualité de membre ?</t>
  </si>
  <si>
    <t>Quel est le montant de la part sociale?</t>
  </si>
  <si>
    <t>Quel est le montant des droits d'adhésion ?</t>
  </si>
  <si>
    <t>Quel est le nombre de membres 
à jour vis-à-vis des cotisations ?</t>
  </si>
  <si>
    <t>Pourcentage de membres à jour vis-à-vis des cotisations</t>
  </si>
  <si>
    <t>Carte de membre</t>
  </si>
  <si>
    <t>Registre des membres</t>
  </si>
  <si>
    <t>Registre des PV/AG</t>
  </si>
  <si>
    <t>Registre des PV/CA</t>
  </si>
  <si>
    <t>Registre des PV/CC</t>
  </si>
  <si>
    <t>Registre de paiement des cotisations</t>
  </si>
  <si>
    <t>Cahier de caisse</t>
  </si>
  <si>
    <t>Cahier de banque</t>
  </si>
  <si>
    <t>Reçu de versement</t>
  </si>
  <si>
    <t>Fiche de stock</t>
  </si>
  <si>
    <t>Comment sont recensés les
 besoins en intrants</t>
  </si>
  <si>
    <t>Comment se fait la distribution 
des intrants ?</t>
  </si>
  <si>
    <t>Comment se fait la récupération ?
du crédit intrant</t>
  </si>
  <si>
    <t>Comment les producteurs sont payés?</t>
  </si>
  <si>
    <t>Quel est la date de la dernière 
AG d'expression des besoins ?</t>
  </si>
  <si>
    <t>Quel est l'effectif des producteurs présent 
à la dernière AG d'expression des besoins en intrants</t>
  </si>
  <si>
    <t>Participation des producteurs à 
AG d'expression</t>
  </si>
  <si>
    <t>Quel est le ratio d'endettement ?</t>
  </si>
  <si>
    <t>Quel est le nombre de producteurs endettés ?</t>
  </si>
  <si>
    <t>Quel est le nombre de producteurs non payés ?</t>
  </si>
  <si>
    <t>Combien de formation sont organisées
 à l'intention des membres</t>
  </si>
  <si>
    <t>Combien y at-il de producteurs 
ayant fait le CEF</t>
  </si>
  <si>
    <t>Combien d'élus ont fait le CEF</t>
  </si>
  <si>
    <t>Quantité d'engrais demandés 
(T) 2010/2011</t>
  </si>
  <si>
    <t>Quantité d'engrais reçus 
(T) 2010/2011</t>
  </si>
  <si>
    <t>Taux de couverture besoin exprimés</t>
  </si>
  <si>
    <t>Quantité d'engrais consommés 
(T) 2010/2011</t>
  </si>
  <si>
    <t>Taux de consommation des intrants 
par rapport aux besoin exprimés</t>
  </si>
  <si>
    <t>Valeur engrais consommés 
(MILLIONS DE fcfa) 2010/2011</t>
  </si>
  <si>
    <t>Quantité insecticides demandés 
(L) 2010/2011</t>
  </si>
  <si>
    <t>Quantité insecticides reçus 
(L) 2010/2011</t>
  </si>
  <si>
    <t>Quantité insecticides consommés 
(L) 2010/2011</t>
  </si>
  <si>
    <t>Valeur insecticides consommés 
(fcfa) 2010/2011</t>
  </si>
  <si>
    <t>Quantité herbicides demandés 
(L) 2010/2011</t>
  </si>
  <si>
    <t>Quantité herbicides reçus 
(L) 2010/2011</t>
  </si>
  <si>
    <t>Quantité herbicides consommés 
(L) 2010/2011</t>
  </si>
  <si>
    <t>Valeur herbicides consommés 
(L) 2010/2011</t>
  </si>
  <si>
    <t>Valeur total INTRANTS CONSOMMES
(y compris autres intrants)</t>
  </si>
  <si>
    <t>Nombre de producteurs prévus 
2010/2011</t>
  </si>
  <si>
    <t>Superficie prévue 2010/2011
(Ha)</t>
  </si>
  <si>
    <t>Rendement prévu 2010/2011
(T/Ha)</t>
  </si>
  <si>
    <t>Production prévue 2010/2011
(T)</t>
  </si>
  <si>
    <t>Nombre de producteurs effectifs 
2010/2011</t>
  </si>
  <si>
    <t>Superficie réalisée 2010/2011
(Ha)</t>
  </si>
  <si>
    <t>superficie moyenne par producteur</t>
  </si>
  <si>
    <t>Rendement réalisée 2010/2011
(T/Ha)</t>
  </si>
  <si>
    <t>Production réalisée 2010/2011
(T/Ha)</t>
  </si>
  <si>
    <t>TYPE D'EQUIPEMENT</t>
  </si>
  <si>
    <t>Magasin</t>
  </si>
  <si>
    <t>Chaise</t>
  </si>
  <si>
    <t xml:space="preserve">Table </t>
  </si>
  <si>
    <t>Moto</t>
  </si>
  <si>
    <t>Bascule</t>
  </si>
  <si>
    <t>NB</t>
  </si>
  <si>
    <t>NB.VIDE</t>
  </si>
  <si>
    <t>TAUX.REPONSE</t>
  </si>
  <si>
    <t>TOT</t>
  </si>
  <si>
    <t>MIN</t>
  </si>
  <si>
    <t xml:space="preserve"> </t>
  </si>
  <si>
    <t>MOY</t>
  </si>
  <si>
    <t>MAX</t>
  </si>
  <si>
    <t>DONNEES PAR COOPERATIVES VILLAGEOISES DE COTON</t>
  </si>
  <si>
    <t>NA</t>
  </si>
  <si>
    <t>DECODAGE</t>
  </si>
  <si>
    <t>valeur réelle</t>
  </si>
  <si>
    <t>1- oui, 2- non</t>
  </si>
  <si>
    <t>1 -Type AIC  , 2 - autres</t>
  </si>
  <si>
    <t>1 - en AG, 2 - de fait, 3 - autres</t>
  </si>
  <si>
    <t>1- Crieur public, 2 -par les agents d'encadrement 3 - radio, 
4 - autres</t>
  </si>
  <si>
    <t>1 - deux semaines avant, 2- une semaine avant, 3 - un jour avant,
 4- autres</t>
  </si>
  <si>
    <t>1 - consensus, 2 - vote, 3 - autres</t>
  </si>
  <si>
    <t>1 - toujours, 2- parfois, 3 - jamais</t>
  </si>
  <si>
    <t>1-Cahier ou registre de PV, 2-Cahier de note du rapporteur, 
3-cahier de note des membres</t>
  </si>
  <si>
    <t>1 - Bureau de consensus, 2 -élection en AG, 3 - autres</t>
  </si>
  <si>
    <t>1- Téléphone, 2 - Courrier, 3 - voies orales, 4- autres</t>
  </si>
  <si>
    <t>1 - consensus de tous les membres présents, 
2- vote de tous les membres présents, 
3- bureau du CA, 4 - autres</t>
  </si>
  <si>
    <t>1 - Toujours,  2 - parfois, 3 - jamais</t>
  </si>
  <si>
    <t>1- Cahier ou registre de PV, 
2-Cahier de note du rapporteur/secrétaire
/3-cahier de note des membres</t>
  </si>
  <si>
    <t xml:space="preserve"> 1 - Existe et a jour , 2 Existe pas à jour, 3 -N'existe pas</t>
  </si>
  <si>
    <t>Organisation interne</t>
  </si>
  <si>
    <t>% moyen d'élus alphabétisés en langue locale dans les CVPC</t>
  </si>
  <si>
    <t>% moyen membre bureau alphabétisé en français</t>
  </si>
  <si>
    <t>% CVPC ayant tenue au moins une AG en dehors de l'AGC</t>
  </si>
  <si>
    <t>% de CVPC ayant tenue au moins une réunion du CA</t>
  </si>
  <si>
    <t>% de CVPC ayant tenue au moins un CC</t>
  </si>
  <si>
    <t>Conseil d'Administration</t>
  </si>
  <si>
    <t>% de CVPC établissant les PV des CA</t>
  </si>
  <si>
    <t>Comité de contrôle</t>
  </si>
  <si>
    <t>Nombre moyen d'AG tenue par CVPC</t>
  </si>
  <si>
    <t>Indicateurs de fonctionnalité des organes</t>
  </si>
  <si>
    <t>% de CVPC ayant un taux moyen de participation aux CA &gt; 50%</t>
  </si>
  <si>
    <t>Indicateurs de gestion des ressources</t>
  </si>
  <si>
    <t>Tenue des documents</t>
  </si>
  <si>
    <t>% de CVPC ayant un registre des membres</t>
  </si>
  <si>
    <t>% de CVPC ayant un registre des membres à jour</t>
  </si>
  <si>
    <t>% de CVPC ayant un registre de PV/AG à jour</t>
  </si>
  <si>
    <t>% de CVPC ayant un registre des cotisations</t>
  </si>
  <si>
    <t>% de CVPC ayant un registre de cotisation à jour</t>
  </si>
  <si>
    <t>Tenue des documents (Membership)</t>
  </si>
  <si>
    <t>Tenue des documents (AG)</t>
  </si>
  <si>
    <t>Tenue des documents (CA)</t>
  </si>
  <si>
    <t>% de CVPC ayant un registre de PV/CA</t>
  </si>
  <si>
    <t>% de CVPC ayant un registre de PV/CA à jour</t>
  </si>
  <si>
    <t>Tenue des documents (CC)</t>
  </si>
  <si>
    <t>% de CVPC ayant un registre de PV/CC</t>
  </si>
  <si>
    <t>% de CVPC ayant un registre de PV/CC à jour</t>
  </si>
  <si>
    <t>Valeur  de référence</t>
  </si>
  <si>
    <t>Valeur de référence</t>
  </si>
  <si>
    <t>% moyen de membre à jour vis-à-vis des cotisations</t>
  </si>
  <si>
    <t>% de CVPC ayant un livre de caisse</t>
  </si>
  <si>
    <t>% de CVPC ayant un livre de caisse à jour</t>
  </si>
  <si>
    <t>% de CVPC ayant un livre de banque à jour</t>
  </si>
  <si>
    <t>% de CVPC utilisant des fiches de stock</t>
  </si>
  <si>
    <t>Mobilisation  des ressources</t>
  </si>
  <si>
    <t>Tenue des documents (Comptable/financier)</t>
  </si>
  <si>
    <t>% de CVPC ayant au moins un magasin de stockage</t>
  </si>
  <si>
    <t>% de CVPC n'ayant pas un registre des membres</t>
  </si>
  <si>
    <t>% de CVPC n'ayant pas un registre des cotisations</t>
  </si>
  <si>
    <t>% de CVPC n'ayant pas un registre de PV/AG</t>
  </si>
  <si>
    <t>% de CVPC ayant un registre de PV/AG pas à jour</t>
  </si>
  <si>
    <t>% de CVPC n'ayant pas un registre de PV/CA</t>
  </si>
  <si>
    <t>% de CVPC n'ayant un registre de PV/CC</t>
  </si>
  <si>
    <t>% de CVPC n'ayant pas un livre de caisse</t>
  </si>
  <si>
    <t>% de CVPC n'ayant pas un livre de banque à jour</t>
  </si>
  <si>
    <t>Indicateurs de gestion du crédit</t>
  </si>
  <si>
    <t>% moyens de producteurs endettés (devant à la CVPC)</t>
  </si>
  <si>
    <t>% de récupération du crédit intrants (campagne courante)</t>
  </si>
  <si>
    <t>Ratio d'endettement moyen CVPC</t>
  </si>
  <si>
    <t>% moyen de participation aux AG d'expression des besoins en intrants</t>
  </si>
  <si>
    <t>% de CVPC ayant fait au moins 1 AG d'expression des besoins en intrant</t>
  </si>
  <si>
    <t>Indicateurs de gestion des intrants</t>
  </si>
  <si>
    <t>Indicateurs commercialisation</t>
  </si>
  <si>
    <t>% CVPC ayant un surplus de poids de coton à l'usine</t>
  </si>
  <si>
    <t>% moyens de producteurs auquel la CVPC doit</t>
  </si>
  <si>
    <t>Enregistrement CVPC (Statut et règlement intérieur)</t>
  </si>
  <si>
    <t>% de CVPC ayant fait AGC</t>
  </si>
  <si>
    <t>% de CVPC enregistré</t>
  </si>
  <si>
    <t>Nombre  producteurs campagne 2010/2011</t>
  </si>
  <si>
    <t>Moyenne</t>
  </si>
  <si>
    <t>Maxium</t>
  </si>
  <si>
    <t>Nombre de productrices</t>
  </si>
  <si>
    <t>% pourcentage productrices</t>
  </si>
  <si>
    <t>Superficie  emblavée par CVPC (Ha)</t>
  </si>
  <si>
    <t>Pourcentage  de femmes membres</t>
  </si>
  <si>
    <t xml:space="preserve">Minimum </t>
  </si>
  <si>
    <t>Nombre poste poste vacant CA</t>
  </si>
  <si>
    <t>Nombre poste Vacant CC</t>
  </si>
  <si>
    <t>Mise en place des organes de gestion</t>
  </si>
  <si>
    <t>Alphabétisation</t>
  </si>
  <si>
    <t>% de CVPC déclarant avoir  Statut</t>
  </si>
  <si>
    <t>% de CVPC déclarant ne pas avoir Statut</t>
  </si>
  <si>
    <t>% de CVPC déclarant avoir adopté Statut en AG</t>
  </si>
  <si>
    <t>% de CVPC déclarant n'avoir pas adopté Staut en AG</t>
  </si>
  <si>
    <t>Existence et mode d'adoption des textes</t>
  </si>
  <si>
    <t xml:space="preserve"> Fonctionnement Assemblée Générale</t>
  </si>
  <si>
    <t>% de CVPC établissant toujours les PV des AG</t>
  </si>
  <si>
    <t>% CVPC établissant parfois les PV des AG</t>
  </si>
  <si>
    <t>% de CVPC n'établissant jamais PV AG</t>
  </si>
  <si>
    <t>Nombre moyen de CA tenue par CVPC</t>
  </si>
  <si>
    <t>% CVPC établissant parfois PV des CA</t>
  </si>
  <si>
    <t>% CVPC n'établissant jamais PV des CA</t>
  </si>
  <si>
    <t>% de CVPC établissant toujours les  PV des CC</t>
  </si>
  <si>
    <t>% de CVPC établissant parfois PV des CC</t>
  </si>
  <si>
    <t>% CVPC n'établissant jamais PV des CC</t>
  </si>
  <si>
    <t>Nombre moyen de CC tenue</t>
  </si>
  <si>
    <t>% moyen membre bureau alphabétisé en langue locale</t>
  </si>
  <si>
    <t>SERVICES ECONOMIQUES AUX MEMBRES</t>
  </si>
  <si>
    <t>% CVPC ayant ratio d'endettement &lt; au seuil autorisé</t>
  </si>
  <si>
    <t>Pourcentage de producteur endettés</t>
  </si>
  <si>
    <t>Montant récupéré</t>
  </si>
  <si>
    <t>Taux de récupération</t>
  </si>
  <si>
    <t>% de CVPC ayant un taux de participation aux AG d'expression &gt; 50 %</t>
  </si>
  <si>
    <t>% moyen de participation CC</t>
  </si>
  <si>
    <t>Performance moyenne par critère et domaine</t>
  </si>
  <si>
    <t>N°</t>
  </si>
  <si>
    <t>% de CVPC ayant une bonne performance (+++)</t>
  </si>
  <si>
    <t>% de CVPC ayant une performance moyenne (++)</t>
  </si>
  <si>
    <t>% de CVPC ayant une faible performance (+)</t>
  </si>
  <si>
    <t>REPRESENTATIVITE</t>
  </si>
  <si>
    <t>COMMERCIALISATION</t>
  </si>
  <si>
    <t>GESTION DES INTRANTS</t>
  </si>
  <si>
    <t>La coopérative fournit-elle à temps des produits phytosanitaires en quantité suffisante à ses membres ?</t>
  </si>
  <si>
    <t>GESTION DU CREDIT</t>
  </si>
  <si>
    <t>La coopérative recouvre t-elle les crédits auprès de ses adhérents ?</t>
  </si>
  <si>
    <t>GESTION DES RESSOURCES</t>
  </si>
  <si>
    <t>GOUVERNANCE</t>
  </si>
  <si>
    <t>La gestion de la coopérative est - elle partagée par les dirigeants ?</t>
  </si>
  <si>
    <t>Questions d'évaluation</t>
  </si>
  <si>
    <t>F</t>
  </si>
  <si>
    <t>F.2</t>
  </si>
  <si>
    <t>F.1</t>
  </si>
  <si>
    <t>E</t>
  </si>
  <si>
    <t>E.4</t>
  </si>
  <si>
    <t>E.3</t>
  </si>
  <si>
    <t>E.2</t>
  </si>
  <si>
    <t>E.1</t>
  </si>
  <si>
    <t xml:space="preserve"> D</t>
  </si>
  <si>
    <t>D.6</t>
  </si>
  <si>
    <t>D.5</t>
  </si>
  <si>
    <t>D.4</t>
  </si>
  <si>
    <t>D.3</t>
  </si>
  <si>
    <t>D.2</t>
  </si>
  <si>
    <t>D.1</t>
  </si>
  <si>
    <t>C</t>
  </si>
  <si>
    <t>C.4</t>
  </si>
  <si>
    <t>C.3</t>
  </si>
  <si>
    <t>C.2</t>
  </si>
  <si>
    <t>C.1</t>
  </si>
  <si>
    <t>B</t>
  </si>
  <si>
    <t>B.5</t>
  </si>
  <si>
    <t>B.4</t>
  </si>
  <si>
    <t>B.3</t>
  </si>
  <si>
    <t>B.2</t>
  </si>
  <si>
    <t>B.1</t>
  </si>
  <si>
    <t>A</t>
  </si>
  <si>
    <t>A.4</t>
  </si>
  <si>
    <t>A.3</t>
  </si>
  <si>
    <t>A.2</t>
  </si>
  <si>
    <t>A.1</t>
  </si>
  <si>
    <t>D</t>
  </si>
  <si>
    <t>F.REPRESENTATION</t>
  </si>
  <si>
    <t>E.COMMERCIALISATION</t>
  </si>
  <si>
    <t>D.GESTION DES INTRANTS</t>
  </si>
  <si>
    <t>C.GESTION DU CREDIT</t>
  </si>
  <si>
    <t>B.GESTION DES RESSOURCES</t>
  </si>
  <si>
    <t xml:space="preserve">A.ORGANISATION INTERNE </t>
  </si>
  <si>
    <t>QUELS SONT LES POINTS FAIBLES DES CVPC</t>
  </si>
  <si>
    <t>CODE CRITERES</t>
  </si>
  <si>
    <t>DOMAINE</t>
  </si>
  <si>
    <t>La coopérative s'intéresse et a mis en place quelques services</t>
  </si>
  <si>
    <t>La coopérative s'intéresse mais n'a mis en place aucun service/appui aux autres spéculations</t>
  </si>
  <si>
    <t>La coopérative ne s'intéresse pas aux autres spéculations pratiquées par les membres</t>
  </si>
  <si>
    <t>La coopérative s'intéresse t-elle aux spéculations pratiquées par les membres?</t>
  </si>
  <si>
    <t>L'appui aux autres spéculations autres que le coton</t>
  </si>
  <si>
    <t>H.1</t>
  </si>
  <si>
    <t>La diversification</t>
  </si>
  <si>
    <t>La coopérative diffuse les informations et à temps</t>
  </si>
  <si>
    <t>La coopérative diffuse quelques informations aux membres mais pas à temps</t>
  </si>
  <si>
    <t>La coopérative ne diffuse pas les informations techniques et celles sur la filière aux membres</t>
  </si>
  <si>
    <t>La coopérative diffuse t-elle aux membres à temps les informations techniques et celles concernant la filière (prix, décisions prises, etc)?</t>
  </si>
  <si>
    <t>La diffusion des informations techniques et les informations concernants la filière</t>
  </si>
  <si>
    <t>G.1</t>
  </si>
  <si>
    <t>La maîtrise de la filière par les membres</t>
  </si>
  <si>
    <t>La coopérative participe aux rencontres défend les intérêts de ses membres et rend compte aux membres</t>
  </si>
  <si>
    <t>La coopérative participe aux rencontres défend les intérêts de ses membres mais ne rend pas compte aux membres</t>
  </si>
  <si>
    <t>La coopérative participent aux rencontres avec les autres acteurs mais ne défend pas les intérêts de ses membres</t>
  </si>
  <si>
    <t>La coopérative représente-t-elle valablement ses membres aux rencontres avec les autres acteurs ?</t>
  </si>
  <si>
    <t>La représentation des membres à des rencontres avec les autres acteurs</t>
  </si>
  <si>
    <t>La représentation et la défense des intérêts des membres</t>
  </si>
  <si>
    <t>capacités stratégiques</t>
  </si>
  <si>
    <t>Tous les producteurs qui ne sont pas en impayés sont payés et à temps</t>
  </si>
  <si>
    <t>Tous les producteurs qui ne sont pas en impayés sont payés mais pas à temps</t>
  </si>
  <si>
    <t>Il y a des producteurs qui ne sont pas en impayés non payés</t>
  </si>
  <si>
    <t>Tous les producteurs qui ne sont pas en impayés sont -ils payés ?</t>
  </si>
  <si>
    <t>Le paiement des producteurs</t>
  </si>
  <si>
    <t>il n'y a ni manquant ni déclassement du coton à l'usine</t>
  </si>
  <si>
    <t>Il n'y a pas de manquant à l'usine mais une partie du coton est déclassée</t>
  </si>
  <si>
    <t>Il y a des manquant à l'usine et une partie du coton commercialisée est déclassée</t>
  </si>
  <si>
    <t>Les quantités pesées et la qualité du coton sont -elles conformes à l'usine?</t>
  </si>
  <si>
    <t>La quantité et la qualité du coton commercialisé</t>
  </si>
  <si>
    <t>La commercialisation est organiséeà temps et toute la production du coton graine est évacuée à temps vers les usines</t>
  </si>
  <si>
    <t>La commercialisation est organisée avec en retard mais toute la production de coton graine est évacuée à temps vers les usines</t>
  </si>
  <si>
    <t>La commercialisation est organisée avec beaucoups de retard</t>
  </si>
  <si>
    <t>La coopérative organise t-elle à temps la commercialisation de toute la production coton graine de ses membres</t>
  </si>
  <si>
    <t>La commercialisation à temps de la production de coton graine</t>
  </si>
  <si>
    <t>La commercialisation du coton graine</t>
  </si>
  <si>
    <t>il y a des produits phytosanitaires en quantité suffisante et ils sont livrés à temps</t>
  </si>
  <si>
    <t>Il y a des produits phytosanitaires en quantité suffisante mais la qualité et la livraison à temps posent problème</t>
  </si>
  <si>
    <t>Il y a un manque de produits phytosanitaires et la coopérative n'entreprend aucune action</t>
  </si>
  <si>
    <t xml:space="preserve">L'approvisionnement à temps des membres en produits phystosanitaires </t>
  </si>
  <si>
    <t>il y a de l'engrais en quantité suffisante et il est livré à temps</t>
  </si>
  <si>
    <t>Il y a de l'engrais  en quantité suffisante mais la qualité et la livraison à temps posent problème</t>
  </si>
  <si>
    <t>Il y a un manque d'engrais et la coopérative n'entreprend aucune action</t>
  </si>
  <si>
    <t>La coopérative fournit-elle à temps des engrais en quantité suffisante à ses membres ?</t>
  </si>
  <si>
    <t xml:space="preserve">L'approvisionnement à temps des membres en engrais </t>
  </si>
  <si>
    <t>il y a des semences  et ils sont livrées à temps</t>
  </si>
  <si>
    <t>Il y a des semences mais la livraison à temps posent problème</t>
  </si>
  <si>
    <t xml:space="preserve">Il y a un manque de semences </t>
  </si>
  <si>
    <t>La coopérative fournit-elle à temps des semences à ses adhérents ?</t>
  </si>
  <si>
    <t xml:space="preserve">L'approvisionnement à temps des membres en semence </t>
  </si>
  <si>
    <t>Les prévisions de consommations sont basées sur les besoins directement exprimées par les membres en AG</t>
  </si>
  <si>
    <t>Les prévisions de consommations sont en adéquation avec les besoins, mais sont déterminés par les élus et/ou l'AAGC et ne se basent pas sur les besoins exprimés</t>
  </si>
  <si>
    <t>Les prévisions de consommations d'intrants ne sont pas en adéquation avec les besoins réels des membres</t>
  </si>
  <si>
    <t>Les prévisions de consommations d'intrants tiennent -ils comptent des besoins exprimés par les membres ?</t>
  </si>
  <si>
    <t>La participation des membres à l'expression des besoins en intrants</t>
  </si>
  <si>
    <t>L'approvisionnement en intrants</t>
  </si>
  <si>
    <t>Il n'y a ni impayés externes, ni imapyés internes</t>
  </si>
  <si>
    <t>Il n' y a pas d'impayés externe, mais il y a des impayés internes (entre membres)</t>
  </si>
  <si>
    <t>Il y a des impayés externes (vis-à-vis des fournisseurs de crédits)</t>
  </si>
  <si>
    <t>Le recouvrement par la coopérative des crédits auprès des adhérents</t>
  </si>
  <si>
    <t>Les membres de la CVPC détiennent tous les documents leur permettant d'évaluer leur dette et le point est fait en AG</t>
  </si>
  <si>
    <t>Les membres de la CVPC ne détiennent aucun document leur permettant d'évaluer eux-mêmes leur dette, ils sont informés aucour d'une AG</t>
  </si>
  <si>
    <t>Les membres de la CVPC ne sont pas informés de leur dette.</t>
  </si>
  <si>
    <t>Les membres de la CVPC sont-ils capables d'évaluer eux-mêmes leur dette?</t>
  </si>
  <si>
    <t>L'information des membres de la CVPC de leur dette</t>
  </si>
  <si>
    <t>Les demandes de crédit des adhérents sont validées après une analyse préalable par les dirigeants, elles sont parfois rejetées</t>
  </si>
  <si>
    <t>Les demandes de crédit des adhérents sont validées après une analyse préalable par les dirigeants</t>
  </si>
  <si>
    <t>Les demandes de crédit des adhérents sont validées sans analyse préalable par les dirigeants</t>
  </si>
  <si>
    <t>Les dirigeants élus de la CVPC sont-ils capables d'analyser les demandes de crédits des membres ?</t>
  </si>
  <si>
    <t>La capacité des dirigeants élus analyser des demandes de crédits (intrants, campagne, labour)</t>
  </si>
  <si>
    <t>La gestion des crédits</t>
  </si>
  <si>
    <t>Services fournis aux membres (capacités techniques)</t>
  </si>
  <si>
    <t>La CVPC dispose d'équipements suffisant pour ses besoins</t>
  </si>
  <si>
    <t>La CVPC dispose des équipements, mais ils sont insuffisants par rapport aux besoins</t>
  </si>
  <si>
    <t>La CVPC ne dispose ni de magasin de stockage des intrants, ni des équipements de commercialisation (bascules, toiles d'achats)</t>
  </si>
  <si>
    <t>Les infrastructures et équipements (de gestion des intrants et de la commercialisation) existent -ils en nombre suffisants ?</t>
  </si>
  <si>
    <t>L'existence des infrastructures et équipements suffisants de la CVPC</t>
  </si>
  <si>
    <t xml:space="preserve">Les dirigeants sont capables de tenir tous les documents et en tirent les conclusions </t>
  </si>
  <si>
    <t>Les dirigeants sont capables de tenir quelques documents. Le reste est tenu par l'AAGC</t>
  </si>
  <si>
    <t>Les dirigeants ne sont pas capables de tenir les documents</t>
  </si>
  <si>
    <t>Les dirigeants de la coopératives sont-ils capables de tenir les documents financiers et comptable, de gestion des intrants et de la commercialisation ?</t>
  </si>
  <si>
    <t>La capacité de tenu des documents financiers et comptables, de gestion des intrants et de la commercialisation par les dirigeants élus</t>
  </si>
  <si>
    <t>Plus de la moitié des dirigeants est alphabétisé</t>
  </si>
  <si>
    <t>Au moins la moitié des dirigeants est alphabétisé</t>
  </si>
  <si>
    <t>Moins du quart des dirigeants est alphabétisé</t>
  </si>
  <si>
    <t>Les dirigeants de la coopérative sont-ils aphabétisés?</t>
  </si>
  <si>
    <t xml:space="preserve">L'alphabétisation des dirigeants élus </t>
  </si>
  <si>
    <t>Les sources de revenus internes les droits d'adhésion, les parts sociales et les cotisations spéciales, les frais de prestations et autres prélèvements</t>
  </si>
  <si>
    <t xml:space="preserve">Les sources de revenus internes les droits d'adhésion, les parts sociales et les cotisations spéciales </t>
  </si>
  <si>
    <t>Les seules sources de revenus internes sont les droits d'adhésion, les parts sociales</t>
  </si>
  <si>
    <t>La coopérative mobilise t-elle des ressources financières internes?</t>
  </si>
  <si>
    <t>La mobilisation des ressources financières internes par la coopérative</t>
  </si>
  <si>
    <t>Les documents de gestion financière et économique sont présents et ils  sont  correctement tenus</t>
  </si>
  <si>
    <t xml:space="preserve">Les documents de gestion financière et économique (intrants, commercialisation) sont présents mais ils sont pas correctement tenus </t>
  </si>
  <si>
    <t>Les documents de gestion financière et économique sont absents</t>
  </si>
  <si>
    <t>Les documents financiers et de gestion des activités économiques (intrants, commercialisation) de la CVPC existent-ils et sont bien tenus?</t>
  </si>
  <si>
    <t>L'existence et la tenue des documents financiers des activités économiques selon les procédures</t>
  </si>
  <si>
    <t>B1</t>
  </si>
  <si>
    <t>La gestion des ressources</t>
  </si>
  <si>
    <t>Les décisions appliquées sont toujours celles avec qui les membres et les élus sont d'accord</t>
  </si>
  <si>
    <t>Quand ils ne sont pas d'accord quelques fois, ce sont les positions défendues par les membres de la CVPC qui sont appliquées</t>
  </si>
  <si>
    <t>Ce sont les décisions prises par l'AAGC et les TSAGC qui sont toujours retenues</t>
  </si>
  <si>
    <t>Les décisions importantes dans la CVPC sont-elles prises par les élus ?</t>
  </si>
  <si>
    <t>La collaboration entre la structure de supervision et des élus dans les prises de décisions</t>
  </si>
  <si>
    <t>A.6</t>
  </si>
  <si>
    <t>Il y a au moins  quatre AG dans l'année et plus de la moitié des membres participent, les femmes  participent pleinement</t>
  </si>
  <si>
    <t>Il y a au moins  deux AG ordinaires dans l'année et au moins la moitié des membres participe mais les femmes ne participent pas.</t>
  </si>
  <si>
    <t>Il y a moins de AG ordinaires dans l'année et moins de la moitié des membres participe</t>
  </si>
  <si>
    <t>Les réunions statutaires sont-elles tenues et les membres participent -ils activement?</t>
  </si>
  <si>
    <t>La tenue des réunions statutaires de la coopérative et la participation active des membres aux réunions</t>
  </si>
  <si>
    <t>A.5</t>
  </si>
  <si>
    <t>Chaque membre connaît bien son poste et joue correctement son rôle</t>
  </si>
  <si>
    <t>La plupart des membres connaissent leurs postes mais ils ne jouent pas leurs rôles</t>
  </si>
  <si>
    <t>La plupart des membres ne connaissent ni leurs postes ni leurs rôles</t>
  </si>
  <si>
    <t>Les dirigeants connaissent-ils et  maîtrisent leurs postes et rôles?</t>
  </si>
  <si>
    <t>La connaissance et la maîtrise de leurs postes et rôles par les dirigeants élus</t>
  </si>
  <si>
    <t>Les dirigeants quand ils prennent des décisions se réfèrent toujours aux SRI</t>
  </si>
  <si>
    <t>Les dirigeants quand ils prennent des décisions se réfèrent quelques fois aux SRI</t>
  </si>
  <si>
    <t>Les dirigeants quand ils prennent des décisions ne se réfèrent jamais aux SRI</t>
  </si>
  <si>
    <t>Les dirigeants maîtisent -ils le Statut et le Règlements Intérieurs de la Coopérative ?</t>
  </si>
  <si>
    <t>La maîtise des Statuts et règlements intérieurs par les élus</t>
  </si>
  <si>
    <t>Tous les membres élus dont au moins une femme se partagent la gestion. La tenue des documents de gestion est partagée entre les élus</t>
  </si>
  <si>
    <t xml:space="preserve">Quelques membres s'occupent de la gestion mais aucune femme, les documents de gestion sont tenus par un seul élu </t>
  </si>
  <si>
    <t>Un seul élu s'occupe de la gestion</t>
  </si>
  <si>
    <t>Le partage de la gestion de la coopérative par les dirigeants élus</t>
  </si>
  <si>
    <t>Il y plusieurs femmes alphabétisées dans les structures dirigeantes</t>
  </si>
  <si>
    <t>il y moins d'une femme alphabétisée dans les structures dirigeantes</t>
  </si>
  <si>
    <t>Les femmes sont absentes des structures dirigeantes</t>
  </si>
  <si>
    <t>Toutes les membres notamment les femmes, sont -elles représentées dans les structures dirigeantes ?</t>
  </si>
  <si>
    <t>La représentation de toutes les catégories de membres dans les structures dirigeantes</t>
  </si>
  <si>
    <t>La gouvernance</t>
  </si>
  <si>
    <t>Organisation interne (capacités organisationnelles)</t>
  </si>
  <si>
    <t>Oui (3 ou +++)</t>
  </si>
  <si>
    <t>Oui, mais (2 ou ++)</t>
  </si>
  <si>
    <t>Non (1 ou +)</t>
  </si>
  <si>
    <t>Scores</t>
  </si>
  <si>
    <t>Capacité de gestion</t>
  </si>
  <si>
    <t>Sous-domaines</t>
  </si>
  <si>
    <t>Domaine</t>
  </si>
  <si>
    <t>Evaluation des capacités essentielles de gestion d'une coopérative</t>
  </si>
  <si>
    <t>Tableau 1</t>
  </si>
  <si>
    <t>Les caractéristiques des CVPC accompagnées par le PADYP sont résumés dans le tableau suivant :</t>
  </si>
  <si>
    <t>2.2. COLLECTE DES DONNEES QUANTITATIVES</t>
  </si>
  <si>
    <t>2.3 DIFFICULTES RENCONTREES</t>
  </si>
  <si>
    <t>3. PRESENTATION DES RESULTATS</t>
  </si>
  <si>
    <t>Tableau 3.1: Caractéristiques des CVPC accompagnées</t>
  </si>
  <si>
    <t>SYNTHESE DES STATISTIQUES POUR LA CAMPAGNE 2010-2011</t>
  </si>
  <si>
    <t>Départements</t>
  </si>
  <si>
    <t>Communes</t>
  </si>
  <si>
    <t>Nombre de CVPC</t>
  </si>
  <si>
    <t>Nombre de producteurs</t>
  </si>
  <si>
    <t>Superficie emblavées(Ha)</t>
  </si>
  <si>
    <t>Production attendue (tonnes)</t>
  </si>
  <si>
    <t>Crédit intrant(FCFA)</t>
  </si>
  <si>
    <t>Nombre Total CVPC</t>
  </si>
  <si>
    <t>Nombre CVPC PADYP</t>
  </si>
  <si>
    <t>% CVPC PADYP</t>
  </si>
  <si>
    <t>Commune</t>
  </si>
  <si>
    <t>CVPC/PADYP</t>
  </si>
  <si>
    <t>% producteurs CVPC PADYP</t>
  </si>
  <si>
    <t xml:space="preserve"> CVPC/PADYP</t>
  </si>
  <si>
    <t>% Superficie CVPC PADYP</t>
  </si>
  <si>
    <t>% production attendue CVPC PADYP</t>
  </si>
  <si>
    <t>% Crédit intrant CVPC PADYP</t>
  </si>
  <si>
    <t>ATACORA</t>
  </si>
  <si>
    <t>Kouandé</t>
  </si>
  <si>
    <t>Kèrou</t>
  </si>
  <si>
    <t>Péhunco</t>
  </si>
  <si>
    <t>Sous Total</t>
  </si>
  <si>
    <t>ALIBORI</t>
  </si>
  <si>
    <t>Banikoara</t>
  </si>
  <si>
    <t>Gogounou</t>
  </si>
  <si>
    <t>Kandi</t>
  </si>
  <si>
    <t>Malanville</t>
  </si>
  <si>
    <t>Ségbana</t>
  </si>
  <si>
    <t>BORGOU</t>
  </si>
  <si>
    <t>Bembèrèkè</t>
  </si>
  <si>
    <t>Kalalé</t>
  </si>
  <si>
    <t>N'Dali</t>
  </si>
  <si>
    <t>Nikki</t>
  </si>
  <si>
    <t>Sinendé</t>
  </si>
  <si>
    <t>TOTAL GENERAL</t>
  </si>
  <si>
    <t>3.1.1. Performance des CVPC dans le domaine de la gouvernance</t>
  </si>
  <si>
    <t>3.1.2. Performance des CVPC dans le domaine de la gestion des ressources</t>
  </si>
  <si>
    <r>
      <rPr>
        <b/>
        <u/>
        <sz val="11"/>
        <color theme="1"/>
        <rFont val="Arial Narrow"/>
        <family val="2"/>
      </rPr>
      <t>Tableau 3.1.2.:</t>
    </r>
    <r>
      <rPr>
        <b/>
        <sz val="11"/>
        <color theme="1"/>
        <rFont val="Arial Narrow"/>
        <family val="2"/>
      </rPr>
      <t xml:space="preserve"> </t>
    </r>
    <r>
      <rPr>
        <sz val="11"/>
        <color theme="1"/>
        <rFont val="Arial Narrow"/>
        <family val="2"/>
      </rPr>
      <t xml:space="preserve"> Valeur de référence de quelques indicateurs en gestion des ressources</t>
    </r>
  </si>
  <si>
    <t>3.2. SERVICES ECONOMIQUES AUX MEMBRES</t>
  </si>
  <si>
    <t>3.2.1. Performance des CVPC dans le domaine de la gestion du crédit</t>
  </si>
  <si>
    <r>
      <rPr>
        <b/>
        <u/>
        <sz val="11"/>
        <color theme="1"/>
        <rFont val="Arial Narrow"/>
        <family val="2"/>
      </rPr>
      <t>Tableau 3.2.1.:</t>
    </r>
    <r>
      <rPr>
        <b/>
        <sz val="11"/>
        <color theme="1"/>
        <rFont val="Arial Narrow"/>
        <family val="2"/>
      </rPr>
      <t xml:space="preserve"> </t>
    </r>
    <r>
      <rPr>
        <sz val="11"/>
        <color theme="1"/>
        <rFont val="Arial Narrow"/>
        <family val="2"/>
      </rPr>
      <t xml:space="preserve"> Valeur de référence de quelques indicateurs en gestion de crédit</t>
    </r>
  </si>
  <si>
    <t>3.2.2. Performance des CVPC dans le domaine de la gestion des intrants</t>
  </si>
  <si>
    <r>
      <rPr>
        <b/>
        <u/>
        <sz val="11"/>
        <color theme="1"/>
        <rFont val="Arial Narrow"/>
        <family val="2"/>
      </rPr>
      <t>Tableau 3.2.2.:</t>
    </r>
    <r>
      <rPr>
        <b/>
        <sz val="11"/>
        <color theme="1"/>
        <rFont val="Arial Narrow"/>
        <family val="2"/>
      </rPr>
      <t xml:space="preserve"> </t>
    </r>
    <r>
      <rPr>
        <sz val="11"/>
        <color theme="1"/>
        <rFont val="Arial Narrow"/>
        <family val="2"/>
      </rPr>
      <t xml:space="preserve"> Valeur de référence de quelques indicateurs en gestion des intrants</t>
    </r>
  </si>
  <si>
    <t>3.2.3. Performance des CVPC dans le domaine de la commercialisation</t>
  </si>
  <si>
    <r>
      <rPr>
        <b/>
        <u/>
        <sz val="11"/>
        <color theme="1"/>
        <rFont val="Arial Narrow"/>
        <family val="2"/>
      </rPr>
      <t>Tableau 3.2.3.:</t>
    </r>
    <r>
      <rPr>
        <b/>
        <sz val="11"/>
        <color theme="1"/>
        <rFont val="Arial Narrow"/>
        <family val="2"/>
      </rPr>
      <t xml:space="preserve"> </t>
    </r>
    <r>
      <rPr>
        <sz val="11"/>
        <color theme="1"/>
        <rFont val="Arial Narrow"/>
        <family val="2"/>
      </rPr>
      <t xml:space="preserve"> Valeur de référence de quelques indicateurs en commercialisation</t>
    </r>
  </si>
  <si>
    <t>1 et 2</t>
  </si>
  <si>
    <t>1 et 3</t>
  </si>
  <si>
    <t>2 et 4</t>
  </si>
  <si>
    <t>Nombre de poste vacant CA</t>
  </si>
  <si>
    <t>KOU01</t>
  </si>
  <si>
    <t>KOU02</t>
  </si>
  <si>
    <t>KOU03</t>
  </si>
  <si>
    <t>SP</t>
  </si>
  <si>
    <t>KOU04</t>
  </si>
  <si>
    <t>1et 3</t>
  </si>
  <si>
    <t>KOU05</t>
  </si>
  <si>
    <t>2 et 3</t>
  </si>
  <si>
    <t>KOU06</t>
  </si>
  <si>
    <t>KOU07</t>
  </si>
  <si>
    <t>1et 2</t>
  </si>
  <si>
    <t>KOU08</t>
  </si>
  <si>
    <t>KOU09</t>
  </si>
  <si>
    <t>KOU10</t>
  </si>
  <si>
    <t>KOU11</t>
  </si>
  <si>
    <t>KOU12</t>
  </si>
  <si>
    <t>KOU13</t>
  </si>
  <si>
    <t>KOU14</t>
  </si>
  <si>
    <t>KOU15</t>
  </si>
  <si>
    <t>Pourcentage de producteurs endettés</t>
  </si>
  <si>
    <t>aqm</t>
  </si>
  <si>
    <t xml:space="preserve">Nombre d'adhérentes </t>
  </si>
  <si>
    <t xml:space="preserve">%  d'adhérentes </t>
  </si>
  <si>
    <t>- Présenter les résultats de la collecte des données quantitatives et des auto-évaluations au niveau des 15 CVPC ;</t>
  </si>
  <si>
    <t>- Valider le plan d'action du Conseiller pour le renforcement des capacités des 15 CVPC pour la campagne 2011/2012</t>
  </si>
  <si>
    <t>Le PROGRAMME de déroulement de l'atelier est le suivant</t>
  </si>
  <si>
    <t xml:space="preserve"> 2.3. AUTO-EVALUATION DES CAPACITES DE GESTION DES CVPC</t>
  </si>
  <si>
    <t>2.1. RAPPEL  DU CONTEXTE ET DE L'OBJECTIF DE L'ETUDE DE REFERENCE</t>
  </si>
  <si>
    <r>
      <t xml:space="preserve">C'est un JUGEMENT fait à un moment donné PAR les MEMBRES de la CVPC des PERFORMANCES de LEUR PROPRE CVPC dans les différents domaines relatifs à la gestion de celle-ci (organisation interne, gestion des intrants, commercialisation, représentation des membres et défense des intérêts. Cet EXERCICE DE REFLEXION INTERNE de la CVPC permettra aux coopérateurs eux-mêmes d'IDENTIFIER les POINTS FORTS et surtout les POINTS FAIBLES, les CAUSES et MANIFESTATIONS de ces points faibles afin d'envisager les mesures correctives nécessaires à un bon fonctionnement de la coopérative et la satisfaction des besoins des membres. 
Pour que cet exercice de réflexion interne soit efficace et permette à la coopérative d'améliorer sa gestion, les coopérateurs doivent s'entendre au préalable et apporter une réponse à l'INTERROGATION suivante : "COMMENT DIFFERENCIER UNE CVPC BIEN GERE D'UNE CVPC MAL GEREE ? " </t>
    </r>
    <r>
      <rPr>
        <b/>
        <sz val="11"/>
        <color theme="1"/>
        <rFont val="Arial Narrow"/>
        <family val="2"/>
      </rPr>
      <t>Sachant à quoi correspond une CVPC bien gérée, toute CVPC après son auto-évaluation cherchera à améliorer les aspects de sa gestion lui permettant de tendre vers la CVPC bien gérée</t>
    </r>
    <r>
      <rPr>
        <sz val="11"/>
        <color theme="1"/>
        <rFont val="Arial Narrow"/>
        <family val="2"/>
      </rPr>
      <t>.</t>
    </r>
    <r>
      <rPr>
        <b/>
        <sz val="11"/>
        <color theme="1"/>
        <rFont val="Arial Narrow"/>
        <family val="2"/>
      </rPr>
      <t xml:space="preserve">
</t>
    </r>
    <r>
      <rPr>
        <sz val="11"/>
        <color theme="1"/>
        <rFont val="Arial Narrow"/>
        <family val="2"/>
      </rPr>
      <t>Par</t>
    </r>
    <r>
      <rPr>
        <b/>
        <sz val="11"/>
        <color theme="1"/>
        <rFont val="Arial Narrow"/>
        <family val="2"/>
      </rPr>
      <t xml:space="preserve"> </t>
    </r>
    <r>
      <rPr>
        <sz val="11"/>
        <color theme="1"/>
        <rFont val="Arial Narrow"/>
        <family val="2"/>
      </rPr>
      <t>ailleurs, l'auto-évaluation DOIT être  une VOLONTE de la CVPC elle-même qui décide de mettre en oeuvre une telle approche et qui mobilise les MOYENS PROPRES NECESSAIRES. La CVPC devra notamment désigner et responsabiliser certains de ses MEMBRES (ANIMATEURS d'AUTO-EVALUATION) pour la conduite de la session d'auto-évaluation.</t>
    </r>
    <r>
      <rPr>
        <b/>
        <sz val="11"/>
        <color theme="1"/>
        <rFont val="Arial Narrow"/>
        <family val="2"/>
      </rPr>
      <t xml:space="preserve">
</t>
    </r>
  </si>
  <si>
    <t xml:space="preserve">Cette étude a été réalisée au cours de la première année de mise en oeuvre de la réforme des OPC créant les Coopératives Villageoises de Producteurs de coton. La première campagne cotonnière des CVPC n'étant pas encore bouclée (les AG bilans sont prévus en mars-avril), les données sur la gestion des intrants et la commercialisation sont incomplètes. Toutefois, l'exercice ne manque pas d'intérêt. Il sera conduit de manière répétitive chaque campagne, afin de suivre le développement des capacités de gestion des CVPC accompagnées par le PADYP et l'évolution de leur performance dans divers domaines.
</t>
  </si>
  <si>
    <t>Les 15 CVPC accompagnées par le PADYP dans la Commune sont toutes issues de la nouvelle réforme des OPC. La représentativité des CVPC PADYP au niveau de la Commune est déclinée suivant les indicateurs ci-après:</t>
  </si>
  <si>
    <r>
      <rPr>
        <b/>
        <u/>
        <sz val="11"/>
        <color theme="1"/>
        <rFont val="Arial Narrow"/>
        <family val="2"/>
      </rPr>
      <t>Tableau 3.1.1.:</t>
    </r>
    <r>
      <rPr>
        <b/>
        <sz val="11"/>
        <color theme="1"/>
        <rFont val="Arial Narrow"/>
        <family val="2"/>
      </rPr>
      <t xml:space="preserve"> </t>
    </r>
    <r>
      <rPr>
        <sz val="11"/>
        <color theme="1"/>
        <rFont val="Arial Narrow"/>
        <family val="2"/>
      </rPr>
      <t xml:space="preserve"> Valeur de référence de quelques indicateurs en gouvernance </t>
    </r>
  </si>
  <si>
    <t>Le Conseiller a collecté des données quantitatives afin de renseigner certains indicateurs de performances des Coopératives définis par le PADYP. Une fiche de collecte de données a été développée à cet effet. Les données collectées permettent de complèter les résultats des auto-évaluations. Les données ont été collectées auprès des CVPC.</t>
  </si>
  <si>
    <r>
      <t>(</t>
    </r>
    <r>
      <rPr>
        <i/>
        <u/>
        <sz val="9"/>
        <color theme="1"/>
        <rFont val="Arial Narrow"/>
        <family val="2"/>
      </rPr>
      <t xml:space="preserve">source </t>
    </r>
    <r>
      <rPr>
        <i/>
        <sz val="9"/>
        <color theme="1"/>
        <rFont val="Arial Narrow"/>
        <family val="2"/>
      </rPr>
      <t>: D'après déclaration des producteurs)</t>
    </r>
  </si>
  <si>
    <t xml:space="preserve">Voir les barres &lt; ou égal à 1,50 sur le graphique (barres rouges) </t>
  </si>
  <si>
    <t xml:space="preserve">Voir les barres compris entre 1,50 et 2,25 sur le graphique (barres jaunes) </t>
  </si>
  <si>
    <t>Performance considérée comme mauvaise</t>
  </si>
  <si>
    <t>Performance considérée comme moyenne</t>
  </si>
  <si>
    <t>Performance considérée comme bonne</t>
  </si>
  <si>
    <t xml:space="preserve">Voir les barres &gt; 2,25 sur le graphique (barres vertes) </t>
  </si>
  <si>
    <t>DEFINITION DE L'ORDRE DE PRIORITES DES DOMAINES  D'ACTION</t>
  </si>
  <si>
    <t>IDENTIFICATION DES DIFFERENTES PERFORMANCES SELON LES CRITERES</t>
  </si>
  <si>
    <t>DEFINITION DE L'ORDRE DE PRIORITES DES CAPACITES DE GESTION A AMELIORER</t>
  </si>
  <si>
    <t>Classer les critères par priorité selon pourcentage (rouge + jaune) du plus élevé au plus faible</t>
  </si>
  <si>
    <t>Puis discuter et valider l'ordre de priorité</t>
  </si>
  <si>
    <t>Classer les domaines par priorité selon pourcentage (rouge + jaune) du plus élevé au plus faible</t>
  </si>
  <si>
    <t>EXPLICATION DES POURCENTAGES ROUGE OU VERT &gt; 80%</t>
  </si>
  <si>
    <t>A l'aide des constats des auto-évaluations</t>
  </si>
  <si>
    <t>% de CVPC  concerné</t>
  </si>
  <si>
    <t>Personnes à impliquer</t>
  </si>
  <si>
    <t xml:space="preserve">Action 1.3.1.: </t>
  </si>
  <si>
    <t xml:space="preserve">Action 1.3.2.: </t>
  </si>
  <si>
    <t xml:space="preserve">Action 1.3.3.: </t>
  </si>
  <si>
    <t xml:space="preserve">Action 1.2.1.: </t>
  </si>
  <si>
    <t xml:space="preserve">Action 1.2.2.: </t>
  </si>
  <si>
    <t xml:space="preserve">Action 1.2.3.: </t>
  </si>
  <si>
    <t xml:space="preserve">Capacité prioritaire 2.1.: </t>
  </si>
  <si>
    <t xml:space="preserve">Action 1.1.2.: </t>
  </si>
  <si>
    <t xml:space="preserve">Action 1.1.3.: </t>
  </si>
  <si>
    <t xml:space="preserve">Action 2.1.1.: </t>
  </si>
  <si>
    <t xml:space="preserve">Action 2.1.2.: </t>
  </si>
  <si>
    <t xml:space="preserve">Action 2.3.3.: </t>
  </si>
  <si>
    <t xml:space="preserve">Action 2.2.1.: </t>
  </si>
  <si>
    <t xml:space="preserve">Action 2.2.2.: </t>
  </si>
  <si>
    <t xml:space="preserve">Action 2.2.3.: </t>
  </si>
  <si>
    <r>
      <rPr>
        <b/>
        <sz val="11"/>
        <color theme="1"/>
        <rFont val="Arial Narrow"/>
        <family val="2"/>
      </rPr>
      <t>2.</t>
    </r>
    <r>
      <rPr>
        <sz val="11"/>
        <color theme="1"/>
        <rFont val="Arial Narrow"/>
        <family val="2"/>
      </rPr>
      <t xml:space="preserve"> </t>
    </r>
    <r>
      <rPr>
        <b/>
        <sz val="11"/>
        <color theme="1"/>
        <rFont val="Arial Narrow"/>
        <family val="2"/>
      </rPr>
      <t>Capacité prioritaire 2.2.</t>
    </r>
  </si>
  <si>
    <r>
      <rPr>
        <b/>
        <sz val="11"/>
        <color theme="1"/>
        <rFont val="Arial Narrow"/>
        <family val="2"/>
      </rPr>
      <t>3.</t>
    </r>
    <r>
      <rPr>
        <sz val="11"/>
        <color theme="1"/>
        <rFont val="Arial Narrow"/>
        <family val="2"/>
      </rPr>
      <t xml:space="preserve"> </t>
    </r>
    <r>
      <rPr>
        <b/>
        <sz val="11"/>
        <color theme="1"/>
        <rFont val="Arial Narrow"/>
        <family val="2"/>
      </rPr>
      <t>Capacité 2.3.</t>
    </r>
  </si>
  <si>
    <t xml:space="preserve">Action 2.3.1.: </t>
  </si>
  <si>
    <t xml:space="preserve">Action 2.3.2.: </t>
  </si>
  <si>
    <t xml:space="preserve">DOMAINE PRIORITAIRE 1: </t>
  </si>
  <si>
    <t>DOMAINE PRIORITAIRE 2.</t>
  </si>
  <si>
    <t>DOMAINE PRIORITAIRE 3.:</t>
  </si>
  <si>
    <r>
      <rPr>
        <b/>
        <i/>
        <sz val="11"/>
        <color theme="1"/>
        <rFont val="Arial Narrow"/>
        <family val="2"/>
      </rPr>
      <t>3.</t>
    </r>
    <r>
      <rPr>
        <i/>
        <sz val="11"/>
        <color theme="1"/>
        <rFont val="Arial Narrow"/>
        <family val="2"/>
      </rPr>
      <t xml:space="preserve"> </t>
    </r>
    <r>
      <rPr>
        <b/>
        <i/>
        <sz val="11"/>
        <color theme="1"/>
        <rFont val="Arial Narrow"/>
        <family val="2"/>
      </rPr>
      <t xml:space="preserve">Capacité prioritaire 1.3 : </t>
    </r>
  </si>
  <si>
    <r>
      <rPr>
        <b/>
        <i/>
        <sz val="11"/>
        <color theme="1"/>
        <rFont val="Arial Narrow"/>
        <family val="2"/>
      </rPr>
      <t>2.</t>
    </r>
    <r>
      <rPr>
        <i/>
        <sz val="11"/>
        <color theme="1"/>
        <rFont val="Arial Narrow"/>
        <family val="2"/>
      </rPr>
      <t xml:space="preserve"> </t>
    </r>
    <r>
      <rPr>
        <b/>
        <i/>
        <sz val="11"/>
        <color theme="1"/>
        <rFont val="Arial Narrow"/>
        <family val="2"/>
      </rPr>
      <t>Capacité prioritaire 1.2.</t>
    </r>
  </si>
  <si>
    <r>
      <t>1. Capacité prioritaire 1.1.</t>
    </r>
    <r>
      <rPr>
        <i/>
        <sz val="11"/>
        <color theme="1"/>
        <rFont val="Arial Narrow"/>
        <family val="2"/>
      </rPr>
      <t xml:space="preserve"> </t>
    </r>
  </si>
  <si>
    <t xml:space="preserve">Action 1.1.1.: </t>
  </si>
  <si>
    <t xml:space="preserve"> DOMAINE PRIORITAIRE/CAPACITES/ACTIONS</t>
  </si>
  <si>
    <t xml:space="preserve">Capacité prioritaire 3.1.: </t>
  </si>
  <si>
    <r>
      <rPr>
        <b/>
        <i/>
        <sz val="11"/>
        <color theme="1"/>
        <rFont val="Arial Narrow"/>
        <family val="2"/>
      </rPr>
      <t>2.</t>
    </r>
    <r>
      <rPr>
        <i/>
        <sz val="11"/>
        <color theme="1"/>
        <rFont val="Arial Narrow"/>
        <family val="2"/>
      </rPr>
      <t xml:space="preserve"> </t>
    </r>
    <r>
      <rPr>
        <b/>
        <i/>
        <sz val="11"/>
        <color theme="1"/>
        <rFont val="Arial Narrow"/>
        <family val="2"/>
      </rPr>
      <t>Capacité prioritaire 3.2.</t>
    </r>
  </si>
  <si>
    <r>
      <rPr>
        <b/>
        <i/>
        <sz val="11"/>
        <color theme="1"/>
        <rFont val="Arial Narrow"/>
        <family val="2"/>
      </rPr>
      <t>3.</t>
    </r>
    <r>
      <rPr>
        <i/>
        <sz val="11"/>
        <color theme="1"/>
        <rFont val="Arial Narrow"/>
        <family val="2"/>
      </rPr>
      <t xml:space="preserve"> </t>
    </r>
    <r>
      <rPr>
        <b/>
        <i/>
        <sz val="11"/>
        <color theme="1"/>
        <rFont val="Arial Narrow"/>
        <family val="2"/>
      </rPr>
      <t>Capacité 3.3.</t>
    </r>
  </si>
  <si>
    <t xml:space="preserve">Action 3.3.1.: </t>
  </si>
  <si>
    <t xml:space="preserve">Action 3.3.2.: </t>
  </si>
  <si>
    <t xml:space="preserve">Action 3.2.3.: </t>
  </si>
  <si>
    <t xml:space="preserve">Action 3.3.3.: </t>
  </si>
  <si>
    <t xml:space="preserve">Action 3.3.3: </t>
  </si>
  <si>
    <r>
      <t xml:space="preserve">- </t>
    </r>
    <r>
      <rPr>
        <i/>
        <u/>
        <sz val="11"/>
        <color theme="1"/>
        <rFont val="Arial Narrow"/>
        <family val="2"/>
      </rPr>
      <t>Objectif 1 :</t>
    </r>
    <r>
      <rPr>
        <i/>
        <sz val="11"/>
        <color theme="1"/>
        <rFont val="Arial Narrow"/>
        <family val="2"/>
      </rPr>
      <t xml:space="preserve"> Aider les CVPC elles-mêmes d’avoir une idée globale de leur situation et se projeter dans l’avenir à travers l’établissement des plans d’actions.</t>
    </r>
  </si>
  <si>
    <r>
      <t xml:space="preserve">- </t>
    </r>
    <r>
      <rPr>
        <i/>
        <u/>
        <sz val="11"/>
        <color theme="1"/>
        <rFont val="Arial Narrow"/>
        <family val="2"/>
      </rPr>
      <t>Objectif 3 :</t>
    </r>
    <r>
      <rPr>
        <i/>
        <sz val="11"/>
        <color theme="1"/>
        <rFont val="Arial Narrow"/>
        <family val="2"/>
      </rPr>
      <t xml:space="preserve"> Déterminer la valeur de départ des indicateurs de performance du Conseil de Gestion afin de permettre au programme de disposer d’une base de comparaison permettant d’apprécier ultérieurement les changements intervenus suite à l’intervention du Programme</t>
    </r>
  </si>
  <si>
    <t>Cette étude a été réalisée dans le cadre du PROGRAMME D'APPUI AUX DYNAMIQUES PRODUCTIVES (PADYP) financé par l'AGENCE FRANCAISE DE DEVELOPPEMENT (AFD) et mise en oeuvre par le MINISTERE DE L'AGRICULTURE DE L'ELEVAGE ET DE LA PÊCHE (MAEP), MAÎTRE D'OUVRAGE, à travers SOFRECO, MAÎTRE D'OEUVRE. Le Programme à trois composantes à savoir:
- Le Conseil à l'Exploitation Agricole Familiale (CEF);
- Le Conseil de Gestion aux Organisations de Producteurs (CdG-OP);
- Le Suivi-Evaluation du Programme.</t>
  </si>
  <si>
    <r>
      <t xml:space="preserve">- </t>
    </r>
    <r>
      <rPr>
        <i/>
        <u/>
        <sz val="11"/>
        <color theme="1"/>
        <rFont val="Arial Narrow"/>
        <family val="2"/>
      </rPr>
      <t>Objectif 2 :</t>
    </r>
    <r>
      <rPr>
        <i/>
        <sz val="11"/>
        <color theme="1"/>
        <rFont val="Arial Narrow"/>
        <family val="2"/>
      </rPr>
      <t xml:space="preserve"> Fournir au Conseiller en Gestion une base de données pertinentes sur l’organisation, le fonctionnement et la gestion des services économiques aux membres au niveau des OP de base qu’il accompagne, afin qu’il puisse disposer des éléments de diagnostic nécessaires pour mettre en place de manière efficace ses activités d’accompagnement. </t>
    </r>
    <r>
      <rPr>
        <b/>
        <i/>
        <sz val="11"/>
        <color theme="1"/>
        <rFont val="Arial Narrow"/>
        <family val="2"/>
      </rPr>
      <t>C'EST LE BUT DU PRESENT ATELIER.</t>
    </r>
  </si>
  <si>
    <t>L'étude de référence des CVPC SE SITUE DANS LA PREMIERE ETAPE. Ces objectifs sont de trois ordres :</t>
  </si>
  <si>
    <t>2.3.1. NOTION D'AUTO-EVALUATION</t>
  </si>
  <si>
    <t>2.1.1. CONTEXTE</t>
  </si>
  <si>
    <t xml:space="preserve">2.1.2. OBJECTIFS DE L'ETUDE DE REFERENCE </t>
  </si>
  <si>
    <t>2.3.2. ETAPE DE SENSIBILISATION DES CVPC</t>
  </si>
  <si>
    <t>2.3.3. ETAPE DE FORMATION DES ANIMATEURS D'AUTO-EVALUATION</t>
  </si>
  <si>
    <t>2.3.4. ETAPE DE DEROULEMENT DES SESSIONS D'AUTO-EVALUATION</t>
  </si>
  <si>
    <r>
      <t xml:space="preserve">L'OBJECTIF des sessions d'auto-évaluation proprement dite est de PORTER un JUGEMENT sur CHAQUE CVPC au regard des critères définis à la formation et des normes de gestion (référence) s'appliquant à chaque critère. Dégager les points faibles c'est-à-dire les critères pour lesquels un mauvais jugement est porté par les membres sur la CVPC, les points forts c'est à dire les critères pour lesquels un bon jugement est porté sur la CVPC. Chacun des POINTS FAIBLES NECESSITE UNE ACTION IMMEDIATE. La CVPC procède alors à l'analyse de chaque points faibles c'est à dire à l'identification des causes d'une telle situation afin d'envisager les actions appropriées pour améliorer sa gestion sur ce point précis. Les actions envisagées devront permettre de tendre vers un jugement positif pour le critère considéré lors de la prochaine session d'auto-évaluation, soit à la fin de la campagne 2011/2012.
Les Animateurs d'auto-évaluation formés par le Conseiller ont animés avec l'assistance du Conseiller en Gestion les 15 sessions dans les CVPC sur la base des critères et questions d'évaluations retenues. 
Les 15 sessions se sont déroulées dans la </t>
    </r>
    <r>
      <rPr>
        <sz val="11"/>
        <color rgb="FFFF0000"/>
        <rFont val="Arial Narrow"/>
        <family val="2"/>
      </rPr>
      <t>période du JJ/MM/2011 au JJ/MM/2011. Le taux moyen de participation par CVPC est de xx % des membres, avec un effectif total de xx producteurs pour l'ensemble des CVPC concernées.</t>
    </r>
  </si>
  <si>
    <t>Nombre total CVPC Commune</t>
  </si>
  <si>
    <t>Nombre de producteurs de coton dans la Commune</t>
  </si>
  <si>
    <t>Superficie coton emblavée dans la Commune 2010/2011</t>
  </si>
  <si>
    <t>COMMENTAIRE</t>
  </si>
  <si>
    <t xml:space="preserve">3.1. SYNTHESE GENERALE AUTO-EVALUATION </t>
  </si>
  <si>
    <t>3.2. ORGANISATION INTERNE (Gouvernance et gestion des ressources)</t>
  </si>
  <si>
    <t>COMMENTAIRE (Comparer/complèter les résultats des auto-évaluations par les données quantitatives selon les trois critères retenus comme prioritaires)</t>
  </si>
  <si>
    <t>COMMENTAIRE (expliquer les résultats et discuter les causes des constats)</t>
  </si>
  <si>
    <t>- Présentation de la METHODOLOGIE de l'étude de référence des 15 CVPC choisies dans la Commune</t>
  </si>
  <si>
    <r>
      <t xml:space="preserve">LE CONSEIL DE GESTION AUX ORGANISATIONS DE PRODUCTEURS (CDG-OP) EST </t>
    </r>
    <r>
      <rPr>
        <b/>
        <sz val="11"/>
        <color theme="1"/>
        <rFont val="Arial Narrow"/>
        <family val="2"/>
      </rPr>
      <t>UNE OFFRE DE RENFORCEMENT DES CAPACITES DES OP DE BASE</t>
    </r>
    <r>
      <rPr>
        <sz val="11"/>
        <color theme="1"/>
        <rFont val="Arial Narrow"/>
        <family val="2"/>
      </rPr>
      <t xml:space="preserve"> (NIVEAU INFRA COMMUNAL : VILLAGE OU ARRONDISSEMENT) EN TERMES D’ORGANISATION, DE FONCTIONNEMENT ET DE GESTION, PRENANT EN COMPTE LE CONTEXTE INSTITUTIONNEL. C'est dans le cadre de cette composante la CELLULE DE COORDINATION DU PADYP a recruté pour le compte de la Commune de</t>
    </r>
    <r>
      <rPr>
        <sz val="11"/>
        <color rgb="FFFF0000"/>
        <rFont val="Arial Narrow"/>
        <family val="2"/>
      </rPr>
      <t xml:space="preserve"> xxxxxxxxx,</t>
    </r>
    <r>
      <rPr>
        <sz val="11"/>
        <color theme="1"/>
        <rFont val="Arial Narrow"/>
        <family val="2"/>
      </rPr>
      <t xml:space="preserve"> 1 Conseiller en Gestion des OP pour l'accompagnement de 15 CVPC. </t>
    </r>
    <r>
      <rPr>
        <sz val="11"/>
        <color rgb="FFFF0000"/>
        <rFont val="Arial Narrow"/>
        <family val="2"/>
      </rPr>
      <t>LA LISTE DES CVPC CHOISIES EST ANNEXEE AU PRESENT RAPPORT.</t>
    </r>
  </si>
  <si>
    <t xml:space="preserve">La démarche de mise en œuvre du CdG-OP se résume en les étapes ci-après :
- Sensibilisation et information des CVPC et prise de contact avec les autres acteurs (CeCPA, PARFCB, Mairie, etc.)
- Diagnostic et établissement des plans d'action des CVPC et du plan d'action du Conseiller ;
- Formation des élus et des membres des CVPC sur des thématiques pertinentes par rapport aux besoins identifiés ;
- Suivi, appui et Conseil aux CVPC.
</t>
  </si>
  <si>
    <r>
      <t xml:space="preserve">L'auto-évaluation étant une démarche de réflexion interne de la coopérative, elle NECESSITE l'ADHESION ET PARTICIPATION ACTIVE DES  ELUS ET DES MEMBRES. C'est pourquoi le Conseiller en Gestion à tout abord entrepris des sensibilisations auprès des dirigeants et des membres. L'objectif de ces séances de sensibilisation est de montrer l'importance et l'intérêt de l'auto-évaluation dans la résolution des problèmes rencontrés par la CVPC. </t>
    </r>
    <r>
      <rPr>
        <sz val="11"/>
        <color rgb="FFFF0000"/>
        <rFont val="Arial Narrow"/>
        <family val="2"/>
      </rPr>
      <t>Le Conseiller a réalisé en moyenne xxx séances de sensibilisation par CVPC et total de xxx</t>
    </r>
    <r>
      <rPr>
        <sz val="11"/>
        <color theme="1"/>
        <rFont val="Arial Narrow"/>
        <family val="2"/>
      </rPr>
      <t>.</t>
    </r>
  </si>
  <si>
    <r>
      <t xml:space="preserve">Une session de FORMATION d'une durée de 2 JOURS a été organisée au chef lieu de la Commune. L'OBJECTIF de cette session est double, il s'agissait d'une part  de </t>
    </r>
    <r>
      <rPr>
        <u/>
        <sz val="11"/>
        <color theme="1"/>
        <rFont val="Arial Narrow"/>
        <family val="2"/>
      </rPr>
      <t>définir pour chacun des domaines de gestion de la CVPC les critères permettant de distinguer une CVPC bien gérée d'une CVPC mal gérée et d'autre part former sur leur rôle les producteurs qui devront conduire avec l'aide du Conseiller les sessions proprement dites dans chacune des 15 CVPC accompagnées par le PADYP</t>
    </r>
    <r>
      <rPr>
        <sz val="11"/>
        <color theme="1"/>
        <rFont val="Arial Narrow"/>
        <family val="2"/>
      </rPr>
      <t xml:space="preserve">.
</t>
    </r>
    <r>
      <rPr>
        <sz val="11"/>
        <color rgb="FFFF0000"/>
        <rFont val="Arial Narrow"/>
        <family val="2"/>
      </rPr>
      <t>DEUX PRODUCTEURS par CVPC ont été désignés soit au total 30 PRODUCTEURS pour l'ensemble des 15 CVPC accompagnées pour suivre cette formation. Un total de XX critères/questions ont été retenues, dont  XX pour ORGANISATION INTERNE, XX pour GESTION DES INTRANTS, XX COMMERCIALISATION, XX pour REPRESENTATION ET DEFENSE DES INTERÊTS des membres. Il a été convenu que toute CVPC mal gérée suivant un critère soit reconnu par le signe (+), toute CVPC intermédiaire par le signe (++), toute CVPC bien gérée par (+++). Le détail des critères (REFERENTIEL) est présenté dans le tableau ci-joint.</t>
    </r>
  </si>
  <si>
    <t>% de CVPC ayant un taux moyen de participation aux AG &gt; 50%</t>
  </si>
  <si>
    <t>DONNES STATISTIQUES SUR LA PRODUCTION COTONNIERE DES CVPC ACCOMPAGNEES</t>
  </si>
  <si>
    <t xml:space="preserve">Commune de:  </t>
  </si>
  <si>
    <t xml:space="preserve">Campagne: </t>
  </si>
  <si>
    <t>2010/2011</t>
  </si>
  <si>
    <t xml:space="preserve">Nombre CVPC: </t>
  </si>
  <si>
    <t>N° D'ordre</t>
  </si>
  <si>
    <t>CVPC</t>
  </si>
  <si>
    <t>Nombre  de membres à la création</t>
  </si>
  <si>
    <t>Nombre de producteurs de coton C/2010-2011</t>
  </si>
  <si>
    <t>Superficie emblavée C/2010-2011 (Ha)</t>
  </si>
  <si>
    <t>Estimation de la production (T)</t>
  </si>
  <si>
    <t>Valeur des intrants consommés (FCFA)</t>
  </si>
  <si>
    <t>TOTAL</t>
  </si>
  <si>
    <r>
      <rPr>
        <sz val="11"/>
        <color indexed="8"/>
        <rFont val="Arial"/>
        <family val="2"/>
      </rPr>
      <t>Nombre producteurs de coton de la commune:</t>
    </r>
    <r>
      <rPr>
        <b/>
        <sz val="11"/>
        <color indexed="8"/>
        <rFont val="Arial"/>
        <family val="2"/>
      </rPr>
      <t xml:space="preserve">  1 799</t>
    </r>
  </si>
  <si>
    <r>
      <rPr>
        <sz val="11"/>
        <color indexed="8"/>
        <rFont val="Arial"/>
        <family val="2"/>
      </rPr>
      <t>Superficie emblavée par la commune:</t>
    </r>
    <r>
      <rPr>
        <b/>
        <sz val="11"/>
        <color indexed="8"/>
        <rFont val="Arial"/>
        <family val="2"/>
      </rPr>
      <t xml:space="preserve">  2 838,43 Ha</t>
    </r>
  </si>
  <si>
    <r>
      <rPr>
        <sz val="11"/>
        <color indexed="8"/>
        <rFont val="Arial"/>
        <family val="2"/>
      </rPr>
      <t>Production attendue par la commune</t>
    </r>
    <r>
      <rPr>
        <b/>
        <sz val="11"/>
        <color indexed="8"/>
        <rFont val="Arial"/>
        <family val="2"/>
      </rPr>
      <t>: 3 247,93 T</t>
    </r>
  </si>
  <si>
    <r>
      <rPr>
        <sz val="11"/>
        <color indexed="8"/>
        <rFont val="Arial"/>
        <family val="2"/>
      </rPr>
      <t>Valeur des intrants consommée par la commune</t>
    </r>
    <r>
      <rPr>
        <b/>
        <sz val="11"/>
        <color indexed="8"/>
        <rFont val="Arial"/>
        <family val="2"/>
      </rPr>
      <t>:  241 703 200 FCFA</t>
    </r>
  </si>
  <si>
    <t>MAXIMUM</t>
  </si>
  <si>
    <t>Maximum</t>
  </si>
  <si>
    <t>-</t>
  </si>
  <si>
    <t>Minimum</t>
  </si>
  <si>
    <t>Total CVPC PADYP</t>
  </si>
  <si>
    <t>COMMUNE</t>
  </si>
  <si>
    <t>% PADYP/COMMUNE</t>
  </si>
  <si>
    <t>QUESTIONS D'EVALUATION</t>
  </si>
  <si>
    <t xml:space="preserve">1. </t>
  </si>
  <si>
    <t xml:space="preserve">2. </t>
  </si>
  <si>
    <t xml:space="preserve">3. </t>
  </si>
  <si>
    <t xml:space="preserve">4. </t>
  </si>
  <si>
    <t xml:space="preserve">5. </t>
  </si>
  <si>
    <t xml:space="preserve">6. </t>
  </si>
  <si>
    <r>
      <t>1.</t>
    </r>
    <r>
      <rPr>
        <sz val="11"/>
        <color theme="1"/>
        <rFont val="Arial Narrow"/>
        <family val="2"/>
      </rPr>
      <t xml:space="preserve"> </t>
    </r>
  </si>
  <si>
    <r>
      <rPr>
        <b/>
        <sz val="11"/>
        <color theme="1"/>
        <rFont val="Arial Narrow"/>
        <family val="2"/>
      </rPr>
      <t>2.</t>
    </r>
    <r>
      <rPr>
        <sz val="11"/>
        <color theme="1"/>
        <rFont val="Arial Narrow"/>
        <family val="2"/>
      </rPr>
      <t xml:space="preserve"> </t>
    </r>
  </si>
  <si>
    <r>
      <rPr>
        <b/>
        <sz val="11"/>
        <color theme="1"/>
        <rFont val="Arial Narrow"/>
        <family val="2"/>
      </rPr>
      <t>3.</t>
    </r>
    <r>
      <rPr>
        <sz val="11"/>
        <color theme="1"/>
        <rFont val="Arial Narrow"/>
        <family val="2"/>
      </rPr>
      <t xml:space="preserve"> </t>
    </r>
  </si>
  <si>
    <t>2.</t>
  </si>
  <si>
    <t>3.</t>
  </si>
  <si>
    <r>
      <rPr>
        <b/>
        <sz val="11"/>
        <color theme="1"/>
        <rFont val="Arial Narrow"/>
        <family val="2"/>
      </rPr>
      <t>4.</t>
    </r>
    <r>
      <rPr>
        <sz val="11"/>
        <color theme="1"/>
        <rFont val="Arial Narrow"/>
        <family val="2"/>
      </rPr>
      <t xml:space="preserve"> </t>
    </r>
  </si>
  <si>
    <r>
      <rPr>
        <b/>
        <sz val="11"/>
        <color theme="1"/>
        <rFont val="Arial Narrow"/>
        <family val="2"/>
      </rPr>
      <t>5.</t>
    </r>
    <r>
      <rPr>
        <sz val="11"/>
        <color theme="1"/>
        <rFont val="Arial Narrow"/>
        <family val="2"/>
      </rPr>
      <t xml:space="preserve"> </t>
    </r>
  </si>
  <si>
    <t>SEG01</t>
  </si>
  <si>
    <t>SEG02</t>
  </si>
  <si>
    <t>SEG03</t>
  </si>
  <si>
    <t>SEG04</t>
  </si>
  <si>
    <t>SEG05</t>
  </si>
  <si>
    <t>SEG06</t>
  </si>
  <si>
    <t>SEG07</t>
  </si>
  <si>
    <t>SEG08</t>
  </si>
  <si>
    <t>SEG09</t>
  </si>
  <si>
    <t>SEG10</t>
  </si>
  <si>
    <t>SEG11</t>
  </si>
  <si>
    <t>SEG12</t>
  </si>
  <si>
    <t>SEG13</t>
  </si>
  <si>
    <t>SEG14</t>
  </si>
  <si>
    <t>SEG15</t>
  </si>
  <si>
    <t>CAPACITE STRATEGIQUES</t>
  </si>
  <si>
    <t>3.3.1. Capacités stratégiques</t>
  </si>
  <si>
    <t>3.3. CAPACITES STRATEGIQUES &amp; REPRESENTATION ET DEFENSE DES INTERÊTS DES MEMBRES</t>
  </si>
  <si>
    <t>5/kg</t>
  </si>
  <si>
    <t>Courrier arrivé</t>
  </si>
  <si>
    <t>Courrier départ</t>
  </si>
  <si>
    <t>Cahier ou livre de caisse</t>
  </si>
  <si>
    <t>Cahier de visite de la CVPC</t>
  </si>
  <si>
    <t>Cahier de transmission de courrier</t>
  </si>
  <si>
    <t>Cahier de visite du Conseiller</t>
  </si>
  <si>
    <t>Livre de banque</t>
  </si>
  <si>
    <t>Facturier</t>
  </si>
  <si>
    <t>Cahier d'inventaire</t>
  </si>
  <si>
    <t>1  ET 3</t>
  </si>
  <si>
    <t>RECOUVREMENT DES CREDITS</t>
  </si>
  <si>
    <t>TENUE DES AG</t>
  </si>
  <si>
    <t>BANIKOARA</t>
  </si>
  <si>
    <t>Nom du Conseiller: ALPHA BIO MIKAILA</t>
  </si>
  <si>
    <t>EXPRESSION DES BESOINS EN INTRANTS</t>
  </si>
  <si>
    <t>RECEPTION DES INTRANTS</t>
  </si>
  <si>
    <t>BADOU (Nassiara)</t>
  </si>
  <si>
    <t>BORO</t>
  </si>
  <si>
    <t>BOUYANGOUROU A</t>
  </si>
  <si>
    <t>FANA</t>
  </si>
  <si>
    <t>GAMAGOU CENTRE</t>
  </si>
  <si>
    <t>GOUNAROU 1</t>
  </si>
  <si>
    <t>GOUNAROU 2</t>
  </si>
  <si>
    <t>KALI (Antissua)</t>
  </si>
  <si>
    <t>KANTAKPARA 1</t>
  </si>
  <si>
    <t>OUESSENE 1</t>
  </si>
  <si>
    <t>SONROU</t>
  </si>
  <si>
    <t>SORI (Worouwodou)</t>
  </si>
  <si>
    <t>WARA 2 (Sinabanou)</t>
  </si>
  <si>
    <t>WERE 2</t>
  </si>
  <si>
    <t>YAKOUBAROU</t>
  </si>
  <si>
    <t>Les réunions du CA se tiennent-elles et tous les membres participent-ils ?</t>
  </si>
  <si>
    <t>TENUE DES REUNIONS DU CA</t>
  </si>
  <si>
    <t>L'AG est -elle tenue et sanctionnée par un PV ?</t>
  </si>
  <si>
    <t>Le CC présentent-ils son rapport de contrôle en AG</t>
  </si>
  <si>
    <t>CONTRÔLE CC</t>
  </si>
  <si>
    <t>Est-ce que les membres respectes les statuts et règlement intérieur ?</t>
  </si>
  <si>
    <t>RESPECT DES TEXTES</t>
  </si>
  <si>
    <t>TENUE DU REGISTRE DES MEMBRES</t>
  </si>
  <si>
    <t>Est-ce que le registre des membres existent et est bien tenu?</t>
  </si>
  <si>
    <t>EXISTENCE DES DOCUMENTS ADMINISTRATIFS ET COMPTABLES</t>
  </si>
  <si>
    <t>Est-ce que la CVPC dispose des documents administratifs et comptables ?</t>
  </si>
  <si>
    <t>OUERE 2</t>
  </si>
  <si>
    <t>WARA 2</t>
  </si>
  <si>
    <t>SOROU</t>
  </si>
  <si>
    <t>MOBILISATION DES RESSOURCES FINANCIERES</t>
  </si>
  <si>
    <t>La CVPC arrive-t-elle à mobiliser les ressources financières ?</t>
  </si>
  <si>
    <t>TENUE DES DOCUMENTS FINANCIERS ET COMPTABLES</t>
  </si>
  <si>
    <t>Les documents financiers et comptables existent-ils et sont-ils bien tenus ?</t>
  </si>
  <si>
    <t>ALPHABETISATION DES DIRIGEANTS</t>
  </si>
  <si>
    <t>Les élus de la CVPC sont-ils alphabétisés ?</t>
  </si>
  <si>
    <t>WOROUWODOU</t>
  </si>
  <si>
    <t>Les élus des CVPC arrivent-ils à évaluer la dette de leurs membres</t>
  </si>
  <si>
    <t>Les élus arrivent-ils à demander du crédit au profit de leurs membres ?</t>
  </si>
  <si>
    <t>Le recouvrement des crédits se fait-il par les élus ?</t>
  </si>
  <si>
    <t>CAPACITE DES ELUS A EVALUER LA DETTE DES MEMBRES</t>
  </si>
  <si>
    <t>MOBILISATION DU CREDIT AU PROFIT DE LEURS MEMBRES</t>
  </si>
  <si>
    <t>L'Expression des besoins en intrants se fait-elle à temps par les élus ?</t>
  </si>
  <si>
    <t>La commande et la réception des intrants se font-elles à temps par les élus ?</t>
  </si>
  <si>
    <t>DISTRIBUTION DES INTRANTS</t>
  </si>
  <si>
    <t>La distribution des intrants se fait-elle en quantité suffisante à temps par les élus ?</t>
  </si>
  <si>
    <t>Les producteurs reçoivent-ils à temps les intrants ?</t>
  </si>
  <si>
    <t>RECEPTION DES INTRANTS PAR LES MEMBRES</t>
  </si>
  <si>
    <t>E.5</t>
  </si>
  <si>
    <t>E.6</t>
  </si>
  <si>
    <t>Est-ce que la CVPC organise t-elle à temps la commercialisation ?</t>
  </si>
  <si>
    <t>Les bascules sont-elles révisées chaque année par les élus ?</t>
  </si>
  <si>
    <t>Les aires de marchés sont-elles bien entretenues par les membres ?</t>
  </si>
  <si>
    <t>Est-ce que les facteurs de commercialisation extistent dans la CVPC en quantité suffisante ?</t>
  </si>
  <si>
    <t>Les producteurs non en impayés sont-ils payés normalement ?</t>
  </si>
  <si>
    <t>Est-ce que les producteurs sortent-ils leur coton pour animer le marché ?</t>
  </si>
  <si>
    <t>ORGANISATION A TEMPS DE LA COMMERCIALISATION</t>
  </si>
  <si>
    <t>REVISION DES BASCULES</t>
  </si>
  <si>
    <t>PARTICIPATION DES MEMBRES AU NETTOYAGE DES AIRES DE MARCHE</t>
  </si>
  <si>
    <t>EXISTENCE DES FACTEURS DE COMMERCIALISATION EN QUANTITE SUFFISANTE</t>
  </si>
  <si>
    <t>PAIEMENT DES PRODUCTEURS</t>
  </si>
  <si>
    <t>ANIMATION DU MARCHE</t>
  </si>
  <si>
    <t>F.3</t>
  </si>
  <si>
    <t>INFORMATION DES MEMBRES</t>
  </si>
  <si>
    <t>Les membres de la CVPC sont-ils informés sur la filière coton ?</t>
  </si>
  <si>
    <t>REPRESENTATION</t>
  </si>
  <si>
    <t>Des membres de la CVPC sont-ils présents aux rencontres ?</t>
  </si>
  <si>
    <t>Les élus organisent-ils des rencontres d'échanges d'informations ?</t>
  </si>
  <si>
    <t>RECONTRE D'ECHANGE D'INFORMATIONS</t>
  </si>
  <si>
    <r>
      <rPr>
        <b/>
        <sz val="11"/>
        <color theme="1"/>
        <rFont val="Arial Narrow"/>
        <family val="2"/>
      </rPr>
      <t>6.</t>
    </r>
    <r>
      <rPr>
        <sz val="11"/>
        <color theme="1"/>
        <rFont val="Arial Narrow"/>
        <family val="2"/>
      </rPr>
      <t xml:space="preserve"> </t>
    </r>
  </si>
  <si>
    <t>COMMUNE DE : GOGOUNOU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</si>
</sst>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0\ _€_-;\-* #,##0.000\ _€_-;_-* &quot;-&quot;??\ _€_-;_-@_-"/>
    <numFmt numFmtId="165" formatCode="0.0"/>
  </numFmts>
  <fonts count="47" x14ac:knownFonts="1">
    <font>
      <sz val="11"/>
      <color theme="1"/>
      <name val="Calibri"/>
      <family val="2"/>
      <scheme val="minor"/>
    </font>
    <font>
      <b/>
      <sz val="11"/>
      <color theme="1"/>
      <name val="Calibri"/>
      <family val="2"/>
      <scheme val="minor"/>
    </font>
    <font>
      <b/>
      <sz val="11"/>
      <color theme="1"/>
      <name val="Arial Narrow"/>
      <family val="2"/>
    </font>
    <font>
      <sz val="11"/>
      <color theme="1"/>
      <name val="Arial Narrow"/>
      <family val="2"/>
    </font>
    <font>
      <b/>
      <i/>
      <sz val="11"/>
      <color theme="1"/>
      <name val="Arial Narrow"/>
      <family val="2"/>
    </font>
    <font>
      <sz val="11"/>
      <color theme="1"/>
      <name val="Calibri"/>
      <family val="2"/>
      <scheme val="minor"/>
    </font>
    <font>
      <u/>
      <sz val="11"/>
      <color theme="1"/>
      <name val="Arial Narrow"/>
      <family val="2"/>
    </font>
    <font>
      <sz val="12"/>
      <color theme="1"/>
      <name val="Arial Narrow"/>
      <family val="2"/>
    </font>
    <font>
      <b/>
      <sz val="12"/>
      <color theme="1"/>
      <name val="Arial Narrow"/>
      <family val="2"/>
    </font>
    <font>
      <b/>
      <sz val="12"/>
      <name val="Arial Narrow"/>
      <family val="2"/>
    </font>
    <font>
      <b/>
      <sz val="12"/>
      <color rgb="FFFF0000"/>
      <name val="Arial Narrow"/>
      <family val="2"/>
    </font>
    <font>
      <b/>
      <sz val="12"/>
      <color theme="4"/>
      <name val="Arial Narrow"/>
      <family val="2"/>
    </font>
    <font>
      <b/>
      <i/>
      <sz val="12"/>
      <color theme="1"/>
      <name val="Arial Narrow"/>
      <family val="2"/>
    </font>
    <font>
      <b/>
      <i/>
      <sz val="12"/>
      <name val="Arial Narrow"/>
      <family val="2"/>
    </font>
    <font>
      <i/>
      <sz val="12"/>
      <color theme="1"/>
      <name val="Arial Narrow"/>
      <family val="2"/>
    </font>
    <font>
      <sz val="12"/>
      <name val="Arial Narrow"/>
      <family val="2"/>
    </font>
    <font>
      <i/>
      <sz val="12"/>
      <name val="Arial Narrow"/>
      <family val="2"/>
    </font>
    <font>
      <sz val="12"/>
      <color rgb="FFFF0000"/>
      <name val="Arial Narrow"/>
      <family val="2"/>
    </font>
    <font>
      <b/>
      <sz val="9"/>
      <color indexed="81"/>
      <name val="Tahoma"/>
      <family val="2"/>
    </font>
    <font>
      <sz val="9"/>
      <color indexed="81"/>
      <name val="Tahoma"/>
      <family val="2"/>
    </font>
    <font>
      <i/>
      <sz val="11"/>
      <color theme="1"/>
      <name val="Arial Narrow"/>
      <family val="2"/>
    </font>
    <font>
      <i/>
      <u/>
      <sz val="11"/>
      <color theme="1"/>
      <name val="Arial Narrow"/>
      <family val="2"/>
    </font>
    <font>
      <i/>
      <sz val="11"/>
      <name val="Arial Narrow"/>
      <family val="2"/>
    </font>
    <font>
      <i/>
      <sz val="12"/>
      <color rgb="FFFF0000"/>
      <name val="Arial Narrow"/>
      <family val="2"/>
    </font>
    <font>
      <sz val="10"/>
      <color theme="1"/>
      <name val="Arial Narrow"/>
      <family val="2"/>
    </font>
    <font>
      <i/>
      <sz val="10"/>
      <name val="Arial Narrow"/>
      <family val="2"/>
    </font>
    <font>
      <b/>
      <i/>
      <sz val="10"/>
      <name val="Arial Narrow"/>
      <family val="2"/>
    </font>
    <font>
      <b/>
      <sz val="10"/>
      <color theme="1"/>
      <name val="Arial Narrow"/>
      <family val="2"/>
    </font>
    <font>
      <i/>
      <sz val="10"/>
      <color theme="1"/>
      <name val="Arial Narrow"/>
      <family val="2"/>
    </font>
    <font>
      <b/>
      <i/>
      <sz val="10"/>
      <color theme="1"/>
      <name val="Arial Narrow"/>
      <family val="2"/>
    </font>
    <font>
      <b/>
      <sz val="10"/>
      <name val="Arial Narrow"/>
      <family val="2"/>
    </font>
    <font>
      <b/>
      <sz val="14"/>
      <color theme="1"/>
      <name val="Arial Narrow"/>
      <family val="2"/>
    </font>
    <font>
      <b/>
      <sz val="16"/>
      <color theme="1"/>
      <name val="Arial Narrow"/>
      <family val="2"/>
    </font>
    <font>
      <b/>
      <sz val="11"/>
      <name val="Arial Narrow"/>
      <family val="2"/>
    </font>
    <font>
      <sz val="9"/>
      <color theme="1"/>
      <name val="Arial Narrow"/>
      <family val="2"/>
    </font>
    <font>
      <b/>
      <sz val="9"/>
      <color theme="1"/>
      <name val="Arial Narrow"/>
      <family val="2"/>
    </font>
    <font>
      <b/>
      <u/>
      <sz val="11"/>
      <color theme="1"/>
      <name val="Arial Narrow"/>
      <family val="2"/>
    </font>
    <font>
      <sz val="10"/>
      <color rgb="FF000000"/>
      <name val="Arial Narrow"/>
      <family val="2"/>
    </font>
    <font>
      <b/>
      <sz val="10"/>
      <color rgb="FF000000"/>
      <name val="Arial Narrow"/>
      <family val="2"/>
    </font>
    <font>
      <sz val="11"/>
      <color rgb="FFFF0000"/>
      <name val="Arial Narrow"/>
      <family val="2"/>
    </font>
    <font>
      <i/>
      <sz val="9"/>
      <color theme="1"/>
      <name val="Arial Narrow"/>
      <family val="2"/>
    </font>
    <font>
      <i/>
      <u/>
      <sz val="9"/>
      <color theme="1"/>
      <name val="Arial Narrow"/>
      <family val="2"/>
    </font>
    <font>
      <b/>
      <sz val="11"/>
      <color theme="1"/>
      <name val="Arial"/>
      <family val="2"/>
    </font>
    <font>
      <sz val="10"/>
      <color theme="1"/>
      <name val="Arial"/>
      <family val="2"/>
    </font>
    <font>
      <sz val="10"/>
      <color theme="1"/>
      <name val="Calibri"/>
      <family val="2"/>
      <scheme val="minor"/>
    </font>
    <font>
      <sz val="11"/>
      <color indexed="8"/>
      <name val="Arial"/>
      <family val="2"/>
    </font>
    <font>
      <b/>
      <sz val="11"/>
      <color indexed="8"/>
      <name val="Arial"/>
      <family val="2"/>
    </font>
  </fonts>
  <fills count="22">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5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dotted">
        <color auto="1"/>
      </top>
      <bottom style="hair">
        <color indexed="64"/>
      </bottom>
      <diagonal/>
    </border>
    <border>
      <left/>
      <right style="thin">
        <color indexed="64"/>
      </right>
      <top style="dotted">
        <color auto="1"/>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ouble">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style="medium">
        <color indexed="64"/>
      </left>
      <right style="double">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bottom style="dashed">
        <color indexed="64"/>
      </bottom>
      <diagonal/>
    </border>
    <border>
      <left/>
      <right/>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ouble">
        <color indexed="64"/>
      </right>
      <top style="dashed">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hair">
        <color indexed="64"/>
      </bottom>
      <diagonal/>
    </border>
    <border>
      <left style="thin">
        <color indexed="64"/>
      </left>
      <right/>
      <top style="medium">
        <color indexed="64"/>
      </top>
      <bottom style="double">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auto="1"/>
      </top>
      <bottom/>
      <diagonal/>
    </border>
    <border>
      <left/>
      <right/>
      <top style="thin">
        <color indexed="64"/>
      </top>
      <bottom style="dotted">
        <color indexed="64"/>
      </bottom>
      <diagonal/>
    </border>
    <border>
      <left/>
      <right/>
      <top style="dotted">
        <color auto="1"/>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dotted">
        <color indexed="64"/>
      </top>
      <bottom style="dotted">
        <color indexed="64"/>
      </bottom>
      <diagonal/>
    </border>
    <border>
      <left style="thin">
        <color indexed="64"/>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medium">
        <color indexed="64"/>
      </right>
      <top style="double">
        <color indexed="64"/>
      </top>
      <bottom/>
      <diagonal/>
    </border>
    <border>
      <left style="dashed">
        <color indexed="64"/>
      </left>
      <right/>
      <top style="thin">
        <color indexed="64"/>
      </top>
      <bottom style="medium">
        <color indexed="64"/>
      </bottom>
      <diagonal/>
    </border>
    <border>
      <left/>
      <right/>
      <top style="dashed">
        <color indexed="64"/>
      </top>
      <bottom/>
      <diagonal/>
    </border>
    <border>
      <left/>
      <right/>
      <top/>
      <bottom style="dotted">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dashed">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right style="thin">
        <color indexed="64"/>
      </right>
      <top style="dashed">
        <color indexed="64"/>
      </top>
      <bottom style="dashed">
        <color indexed="64"/>
      </bottom>
      <diagonal/>
    </border>
    <border>
      <left style="thin">
        <color indexed="64"/>
      </left>
      <right style="dotted">
        <color indexed="64"/>
      </right>
      <top style="dotted">
        <color indexed="64"/>
      </top>
      <bottom style="dotted">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831">
    <xf numFmtId="0" fontId="0" fillId="0" borderId="0" xfId="0"/>
    <xf numFmtId="0" fontId="3" fillId="0" borderId="0" xfId="0" applyFont="1" applyAlignment="1">
      <alignment vertical="top"/>
    </xf>
    <xf numFmtId="0" fontId="7" fillId="0" borderId="13" xfId="0" applyFont="1" applyFill="1" applyBorder="1"/>
    <xf numFmtId="0" fontId="8" fillId="0" borderId="0" xfId="0" applyFont="1" applyFill="1" applyBorder="1" applyAlignment="1">
      <alignment horizontal="center"/>
    </xf>
    <xf numFmtId="0" fontId="8" fillId="0" borderId="15" xfId="0" applyFont="1" applyFill="1" applyBorder="1" applyAlignment="1">
      <alignment horizontal="center"/>
    </xf>
    <xf numFmtId="0" fontId="7" fillId="0" borderId="0" xfId="0" applyFont="1" applyFill="1" applyBorder="1"/>
    <xf numFmtId="0" fontId="8" fillId="0" borderId="22" xfId="0" applyFont="1" applyFill="1" applyBorder="1" applyAlignment="1">
      <alignment horizontal="center"/>
    </xf>
    <xf numFmtId="0" fontId="8" fillId="0" borderId="13" xfId="0" applyFont="1" applyFill="1" applyBorder="1" applyAlignment="1">
      <alignment horizontal="center"/>
    </xf>
    <xf numFmtId="0" fontId="7" fillId="0" borderId="0" xfId="0" applyFont="1"/>
    <xf numFmtId="0" fontId="7" fillId="0" borderId="0" xfId="0" applyFont="1" applyFill="1" applyBorder="1" applyAlignment="1">
      <alignment horizontal="center"/>
    </xf>
    <xf numFmtId="0" fontId="7" fillId="0" borderId="29" xfId="0" applyFont="1" applyFill="1" applyBorder="1" applyAlignment="1">
      <alignment horizontal="center"/>
    </xf>
    <xf numFmtId="0" fontId="7" fillId="0" borderId="0" xfId="0" applyFont="1" applyFill="1" applyBorder="1" applyAlignment="1">
      <alignment horizontal="center" vertical="center"/>
    </xf>
    <xf numFmtId="0" fontId="7" fillId="0" borderId="13" xfId="0" applyFont="1" applyFill="1" applyBorder="1" applyAlignment="1">
      <alignment horizontal="center"/>
    </xf>
    <xf numFmtId="0" fontId="7" fillId="0" borderId="22" xfId="0" applyFont="1" applyFill="1" applyBorder="1" applyAlignment="1">
      <alignment horizontal="center"/>
    </xf>
    <xf numFmtId="0" fontId="8" fillId="0" borderId="0" xfId="0" applyFont="1" applyFill="1" applyBorder="1" applyAlignment="1">
      <alignment wrapText="1"/>
    </xf>
    <xf numFmtId="0" fontId="9" fillId="2" borderId="39"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8" fillId="2" borderId="40" xfId="0" applyFont="1" applyFill="1" applyBorder="1" applyAlignment="1">
      <alignment horizontal="center" vertical="center" textRotation="90" wrapText="1"/>
    </xf>
    <xf numFmtId="0" fontId="8" fillId="0" borderId="0"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8" fillId="0" borderId="41" xfId="0" applyFont="1" applyFill="1" applyBorder="1" applyAlignment="1">
      <alignment horizontal="center" vertical="center" textRotation="90" wrapText="1"/>
    </xf>
    <xf numFmtId="0" fontId="9" fillId="2" borderId="42" xfId="0" applyFont="1" applyFill="1" applyBorder="1" applyAlignment="1">
      <alignment horizontal="center" vertical="center" textRotation="90" wrapText="1"/>
    </xf>
    <xf numFmtId="0" fontId="8" fillId="2" borderId="42" xfId="0" applyFont="1" applyFill="1" applyBorder="1" applyAlignment="1">
      <alignment horizontal="left" vertical="center" textRotation="90" wrapText="1"/>
    </xf>
    <xf numFmtId="0" fontId="8" fillId="2" borderId="42" xfId="0" applyFont="1" applyFill="1" applyBorder="1" applyAlignment="1">
      <alignment horizontal="center" vertical="center" textRotation="90" wrapText="1"/>
    </xf>
    <xf numFmtId="0" fontId="8" fillId="2" borderId="43" xfId="0" applyFont="1" applyFill="1" applyBorder="1" applyAlignment="1">
      <alignment horizontal="center" vertical="center" textRotation="90" wrapText="1"/>
    </xf>
    <xf numFmtId="0" fontId="10" fillId="2" borderId="41" xfId="0" applyFont="1" applyFill="1" applyBorder="1" applyAlignment="1">
      <alignment horizontal="center" vertical="center" textRotation="90" wrapText="1"/>
    </xf>
    <xf numFmtId="0" fontId="10" fillId="2" borderId="42" xfId="0" applyFont="1" applyFill="1" applyBorder="1" applyAlignment="1">
      <alignment horizontal="center" vertical="center" textRotation="90" wrapText="1"/>
    </xf>
    <xf numFmtId="0" fontId="9" fillId="2" borderId="43" xfId="0" applyFont="1" applyFill="1" applyBorder="1" applyAlignment="1">
      <alignment horizontal="center" vertical="center" textRotation="90" wrapText="1"/>
    </xf>
    <xf numFmtId="0" fontId="10" fillId="0" borderId="0" xfId="0" applyFont="1" applyFill="1" applyBorder="1" applyAlignment="1">
      <alignment horizontal="center" vertical="center" textRotation="90" wrapText="1"/>
    </xf>
    <xf numFmtId="0" fontId="8" fillId="0" borderId="13" xfId="0" applyFont="1" applyFill="1" applyBorder="1" applyAlignment="1">
      <alignment horizontal="center" vertical="center" textRotation="90" wrapText="1"/>
    </xf>
    <xf numFmtId="0" fontId="11" fillId="2" borderId="44" xfId="0" applyFont="1" applyFill="1" applyBorder="1" applyAlignment="1">
      <alignment horizontal="center" vertical="center" textRotation="90" wrapText="1"/>
    </xf>
    <xf numFmtId="0" fontId="8" fillId="2" borderId="45" xfId="0" applyFont="1" applyFill="1" applyBorder="1" applyAlignment="1">
      <alignment horizontal="center" vertical="center" textRotation="90" wrapText="1"/>
    </xf>
    <xf numFmtId="0" fontId="11" fillId="2" borderId="45" xfId="0" applyFont="1" applyFill="1" applyBorder="1" applyAlignment="1">
      <alignment horizontal="center" vertical="center" textRotation="90" wrapText="1"/>
    </xf>
    <xf numFmtId="0" fontId="10" fillId="2" borderId="45" xfId="0" applyFont="1" applyFill="1" applyBorder="1" applyAlignment="1">
      <alignment horizontal="center" vertical="center" textRotation="90" wrapText="1"/>
    </xf>
    <xf numFmtId="0" fontId="8" fillId="2" borderId="46" xfId="0" applyFont="1" applyFill="1" applyBorder="1" applyAlignment="1">
      <alignment horizontal="center" vertical="center" textRotation="90" wrapText="1"/>
    </xf>
    <xf numFmtId="0" fontId="8" fillId="0" borderId="22" xfId="0" applyFont="1" applyFill="1" applyBorder="1" applyAlignment="1">
      <alignment horizontal="center" vertical="center" textRotation="90" wrapText="1"/>
    </xf>
    <xf numFmtId="0" fontId="9" fillId="2" borderId="47" xfId="0" applyFont="1" applyFill="1" applyBorder="1" applyAlignment="1">
      <alignment horizontal="center" vertical="center" textRotation="90" wrapText="1"/>
    </xf>
    <xf numFmtId="0" fontId="8" fillId="2" borderId="48" xfId="0" applyFont="1" applyFill="1" applyBorder="1" applyAlignment="1">
      <alignment horizontal="center" vertical="center" textRotation="90" wrapText="1"/>
    </xf>
    <xf numFmtId="0" fontId="9" fillId="2" borderId="41"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49" xfId="0" applyFont="1" applyFill="1" applyBorder="1" applyAlignment="1">
      <alignment horizontal="center" vertical="center" textRotation="90" wrapText="1"/>
    </xf>
    <xf numFmtId="0" fontId="8" fillId="2" borderId="2" xfId="0" applyFont="1" applyFill="1" applyBorder="1" applyAlignment="1">
      <alignment horizontal="center" vertical="center" textRotation="90" wrapText="1"/>
    </xf>
    <xf numFmtId="0" fontId="8" fillId="0" borderId="0" xfId="0" applyFont="1" applyFill="1" applyAlignment="1">
      <alignment wrapText="1"/>
    </xf>
    <xf numFmtId="0" fontId="7" fillId="0" borderId="0" xfId="0" applyFont="1" applyBorder="1"/>
    <xf numFmtId="0" fontId="7" fillId="0" borderId="41" xfId="0" applyFont="1" applyFill="1" applyBorder="1"/>
    <xf numFmtId="0" fontId="7" fillId="0" borderId="39" xfId="0" applyFont="1" applyFill="1" applyBorder="1"/>
    <xf numFmtId="0" fontId="7" fillId="0" borderId="1" xfId="0" applyFont="1" applyBorder="1"/>
    <xf numFmtId="0" fontId="7" fillId="0" borderId="40" xfId="0" applyFont="1" applyBorder="1"/>
    <xf numFmtId="0" fontId="7" fillId="0" borderId="42" xfId="0" applyFont="1" applyBorder="1"/>
    <xf numFmtId="0" fontId="7" fillId="0" borderId="43" xfId="0" applyFont="1" applyBorder="1"/>
    <xf numFmtId="0" fontId="7" fillId="0" borderId="41" xfId="0" applyFont="1" applyBorder="1"/>
    <xf numFmtId="0" fontId="8" fillId="0" borderId="43" xfId="0" applyFont="1" applyFill="1" applyBorder="1" applyAlignment="1">
      <alignment horizontal="center"/>
    </xf>
    <xf numFmtId="0" fontId="7" fillId="0" borderId="44" xfId="0" applyFont="1" applyFill="1" applyBorder="1"/>
    <xf numFmtId="0" fontId="7" fillId="0" borderId="45" xfId="0" applyFont="1" applyBorder="1"/>
    <xf numFmtId="0" fontId="7" fillId="0" borderId="46" xfId="0" applyFont="1" applyBorder="1"/>
    <xf numFmtId="0" fontId="7" fillId="0" borderId="22" xfId="0" applyFont="1" applyFill="1" applyBorder="1"/>
    <xf numFmtId="0" fontId="7" fillId="0" borderId="0" xfId="0" applyFont="1" applyBorder="1" applyAlignment="1">
      <alignment horizontal="center" vertical="center"/>
    </xf>
    <xf numFmtId="0" fontId="12" fillId="8" borderId="39"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51"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40" xfId="0" applyFont="1" applyFill="1" applyBorder="1" applyAlignment="1">
      <alignment horizontal="center" vertical="center"/>
    </xf>
    <xf numFmtId="0" fontId="7" fillId="0" borderId="41" xfId="0" applyFont="1" applyFill="1" applyBorder="1" applyAlignment="1">
      <alignment horizontal="center" vertical="center"/>
    </xf>
    <xf numFmtId="0" fontId="12" fillId="8" borderId="42" xfId="0" applyFont="1" applyFill="1" applyBorder="1" applyAlignment="1">
      <alignment horizontal="center" vertical="center"/>
    </xf>
    <xf numFmtId="0" fontId="7" fillId="8" borderId="42" xfId="0" applyFont="1" applyFill="1" applyBorder="1" applyAlignment="1">
      <alignment horizontal="center" vertical="center"/>
    </xf>
    <xf numFmtId="0" fontId="13" fillId="9" borderId="42" xfId="0" applyFont="1" applyFill="1" applyBorder="1" applyAlignment="1">
      <alignment horizontal="center" vertical="center"/>
    </xf>
    <xf numFmtId="0" fontId="7" fillId="8" borderId="43" xfId="0" applyFont="1" applyFill="1" applyBorder="1" applyAlignment="1">
      <alignment horizontal="center" vertical="center"/>
    </xf>
    <xf numFmtId="0" fontId="14" fillId="8" borderId="39" xfId="0" applyFont="1" applyFill="1" applyBorder="1" applyAlignment="1">
      <alignment horizontal="center" vertical="center"/>
    </xf>
    <xf numFmtId="0" fontId="14" fillId="8" borderId="4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14"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7" fillId="8" borderId="46" xfId="0" applyFont="1" applyFill="1" applyBorder="1" applyAlignment="1">
      <alignment horizontal="center" vertical="center"/>
    </xf>
    <xf numFmtId="0" fontId="7" fillId="0" borderId="22" xfId="0" applyFont="1" applyFill="1" applyBorder="1" applyAlignment="1">
      <alignment horizontal="center" vertical="center"/>
    </xf>
    <xf numFmtId="0" fontId="14" fillId="8" borderId="1" xfId="0" applyFont="1" applyFill="1" applyBorder="1" applyAlignment="1">
      <alignment horizontal="center" vertical="center"/>
    </xf>
    <xf numFmtId="0" fontId="7" fillId="0" borderId="0" xfId="0" applyFont="1" applyAlignment="1">
      <alignment horizontal="center" vertical="center"/>
    </xf>
    <xf numFmtId="0" fontId="8" fillId="8" borderId="39" xfId="0" applyFont="1" applyFill="1" applyBorder="1" applyAlignment="1">
      <alignment horizontal="center" vertical="center"/>
    </xf>
    <xf numFmtId="0" fontId="8" fillId="8" borderId="42" xfId="0" applyFont="1" applyFill="1" applyBorder="1" applyAlignment="1">
      <alignment horizontal="center" vertical="center"/>
    </xf>
    <xf numFmtId="0" fontId="7" fillId="8" borderId="39" xfId="0" applyFont="1" applyFill="1" applyBorder="1" applyAlignment="1">
      <alignment horizontal="center" vertical="center"/>
    </xf>
    <xf numFmtId="0" fontId="7" fillId="8" borderId="4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49" xfId="0" applyFont="1" applyFill="1" applyBorder="1" applyAlignment="1">
      <alignment horizontal="center" vertical="center"/>
    </xf>
    <xf numFmtId="0" fontId="7" fillId="8" borderId="4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14" fillId="0" borderId="0" xfId="0" applyFont="1" applyBorder="1" applyAlignment="1">
      <alignment horizontal="center" vertical="center"/>
    </xf>
    <xf numFmtId="9" fontId="14" fillId="8" borderId="8" xfId="2" applyFont="1" applyFill="1" applyBorder="1" applyAlignment="1">
      <alignment horizontal="center" vertical="center"/>
    </xf>
    <xf numFmtId="9" fontId="14" fillId="8" borderId="54" xfId="2" applyFont="1" applyFill="1" applyBorder="1" applyAlignment="1">
      <alignment horizontal="center" vertical="center"/>
    </xf>
    <xf numFmtId="0" fontId="14" fillId="0" borderId="0" xfId="0" applyFont="1" applyFill="1" applyBorder="1" applyAlignment="1">
      <alignment horizontal="center" vertical="center"/>
    </xf>
    <xf numFmtId="9" fontId="14" fillId="8" borderId="1" xfId="2" applyFont="1" applyFill="1" applyBorder="1" applyAlignment="1">
      <alignment horizontal="center" vertical="center"/>
    </xf>
    <xf numFmtId="9" fontId="14" fillId="8" borderId="40" xfId="2" applyFont="1" applyFill="1" applyBorder="1" applyAlignment="1">
      <alignment horizontal="center" vertical="center"/>
    </xf>
    <xf numFmtId="9" fontId="14" fillId="0" borderId="0" xfId="2" applyFont="1" applyFill="1" applyBorder="1" applyAlignment="1">
      <alignment horizontal="center" vertical="center"/>
    </xf>
    <xf numFmtId="0" fontId="14" fillId="0" borderId="41" xfId="0" applyFont="1" applyFill="1" applyBorder="1" applyAlignment="1">
      <alignment horizontal="center" vertical="center"/>
    </xf>
    <xf numFmtId="9" fontId="14" fillId="8" borderId="42" xfId="2" applyFont="1" applyFill="1" applyBorder="1" applyAlignment="1">
      <alignment horizontal="center" vertical="center"/>
    </xf>
    <xf numFmtId="9" fontId="14" fillId="8" borderId="43" xfId="2" applyFont="1" applyFill="1" applyBorder="1" applyAlignment="1">
      <alignment horizontal="center" vertical="center"/>
    </xf>
    <xf numFmtId="0" fontId="12" fillId="8" borderId="41"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2" fillId="8" borderId="44" xfId="0" applyFont="1" applyFill="1" applyBorder="1" applyAlignment="1">
      <alignment horizontal="center" vertical="center"/>
    </xf>
    <xf numFmtId="9" fontId="14" fillId="8" borderId="45" xfId="2" applyFont="1" applyFill="1" applyBorder="1" applyAlignment="1">
      <alignment horizontal="center" vertical="center"/>
    </xf>
    <xf numFmtId="9" fontId="14" fillId="8" borderId="46" xfId="2" applyFont="1" applyFill="1" applyBorder="1" applyAlignment="1">
      <alignment horizontal="center" vertical="center"/>
    </xf>
    <xf numFmtId="0" fontId="14" fillId="0" borderId="22"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3" fillId="9" borderId="55" xfId="0" applyFont="1" applyFill="1" applyBorder="1" applyAlignment="1">
      <alignment horizontal="center" vertical="center"/>
    </xf>
    <xf numFmtId="0" fontId="16" fillId="9" borderId="8" xfId="0" applyFont="1" applyFill="1" applyBorder="1" applyAlignment="1">
      <alignment horizontal="center" vertical="center"/>
    </xf>
    <xf numFmtId="9" fontId="16" fillId="9" borderId="8" xfId="2" applyFont="1" applyFill="1" applyBorder="1" applyAlignment="1">
      <alignment horizontal="center" vertical="center"/>
    </xf>
    <xf numFmtId="1" fontId="16" fillId="9" borderId="8" xfId="0" applyNumberFormat="1" applyFont="1" applyFill="1" applyBorder="1" applyAlignment="1">
      <alignment horizontal="center" vertical="center"/>
    </xf>
    <xf numFmtId="9" fontId="16" fillId="9" borderId="54" xfId="2" applyFont="1" applyFill="1" applyBorder="1" applyAlignment="1">
      <alignment horizontal="center" vertical="center"/>
    </xf>
    <xf numFmtId="0" fontId="16" fillId="0" borderId="0" xfId="0" applyFont="1" applyFill="1" applyBorder="1" applyAlignment="1">
      <alignment horizontal="center" vertical="center"/>
    </xf>
    <xf numFmtId="0" fontId="13" fillId="9" borderId="39" xfId="0" applyFont="1" applyFill="1" applyBorder="1" applyAlignment="1">
      <alignment horizontal="center" vertical="center"/>
    </xf>
    <xf numFmtId="9" fontId="16" fillId="9" borderId="1" xfId="2" applyFont="1" applyFill="1" applyBorder="1" applyAlignment="1">
      <alignment horizontal="center" vertical="center"/>
    </xf>
    <xf numFmtId="9" fontId="16" fillId="9" borderId="40" xfId="2" applyFont="1" applyFill="1" applyBorder="1" applyAlignment="1">
      <alignment horizontal="center" vertical="center"/>
    </xf>
    <xf numFmtId="9" fontId="16" fillId="0" borderId="0" xfId="2" applyFont="1" applyFill="1" applyBorder="1" applyAlignment="1">
      <alignment horizontal="center" vertical="center"/>
    </xf>
    <xf numFmtId="0" fontId="16" fillId="0" borderId="41" xfId="0" applyFont="1" applyFill="1" applyBorder="1" applyAlignment="1">
      <alignment horizontal="center" vertical="center"/>
    </xf>
    <xf numFmtId="0" fontId="16" fillId="9" borderId="42" xfId="0" applyFont="1" applyFill="1" applyBorder="1" applyAlignment="1">
      <alignment horizontal="center" vertical="center"/>
    </xf>
    <xf numFmtId="9" fontId="16" fillId="9" borderId="42" xfId="2" applyFont="1" applyFill="1" applyBorder="1" applyAlignment="1">
      <alignment horizontal="center" vertical="center"/>
    </xf>
    <xf numFmtId="9" fontId="16" fillId="9" borderId="43" xfId="2" applyFont="1" applyFill="1" applyBorder="1" applyAlignment="1">
      <alignment horizontal="center" vertical="center"/>
    </xf>
    <xf numFmtId="0" fontId="16" fillId="9" borderId="39" xfId="0" applyFont="1" applyFill="1" applyBorder="1" applyAlignment="1">
      <alignment horizontal="center" vertical="center"/>
    </xf>
    <xf numFmtId="0" fontId="16" fillId="9" borderId="1" xfId="0" applyFont="1" applyFill="1" applyBorder="1" applyAlignment="1">
      <alignment horizontal="center" vertical="center"/>
    </xf>
    <xf numFmtId="1" fontId="16" fillId="9"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13" fillId="9" borderId="41" xfId="0" applyFont="1" applyFill="1" applyBorder="1" applyAlignment="1">
      <alignment horizontal="center" vertical="center"/>
    </xf>
    <xf numFmtId="0" fontId="16" fillId="9" borderId="41" xfId="0" applyFont="1" applyFill="1" applyBorder="1" applyAlignment="1">
      <alignment horizontal="center" vertical="center"/>
    </xf>
    <xf numFmtId="0" fontId="16" fillId="0" borderId="13" xfId="0" applyFont="1" applyFill="1" applyBorder="1" applyAlignment="1">
      <alignment horizontal="center" vertical="center"/>
    </xf>
    <xf numFmtId="0" fontId="13" fillId="9" borderId="44" xfId="0" applyFont="1" applyFill="1" applyBorder="1" applyAlignment="1">
      <alignment horizontal="center" vertical="center"/>
    </xf>
    <xf numFmtId="9" fontId="16" fillId="9" borderId="45" xfId="2" applyFont="1" applyFill="1" applyBorder="1" applyAlignment="1">
      <alignment horizontal="center" vertical="center"/>
    </xf>
    <xf numFmtId="0" fontId="13" fillId="9" borderId="45" xfId="0" applyFont="1" applyFill="1" applyBorder="1" applyAlignment="1">
      <alignment horizontal="center" vertical="center"/>
    </xf>
    <xf numFmtId="0" fontId="16" fillId="9" borderId="45" xfId="0" applyFont="1" applyFill="1" applyBorder="1" applyAlignment="1">
      <alignment horizontal="center" vertical="center"/>
    </xf>
    <xf numFmtId="0" fontId="16" fillId="9" borderId="46" xfId="0" applyFont="1" applyFill="1" applyBorder="1" applyAlignment="1">
      <alignment horizontal="center" vertical="center"/>
    </xf>
    <xf numFmtId="0" fontId="16" fillId="0" borderId="22" xfId="0" applyFont="1" applyFill="1" applyBorder="1" applyAlignment="1">
      <alignment horizontal="center" vertical="center"/>
    </xf>
    <xf numFmtId="0" fontId="16" fillId="9" borderId="56" xfId="0" applyFont="1" applyFill="1" applyBorder="1" applyAlignment="1">
      <alignment horizontal="center" vertical="center"/>
    </xf>
    <xf numFmtId="0" fontId="16" fillId="9" borderId="57" xfId="0" applyFont="1" applyFill="1" applyBorder="1" applyAlignment="1">
      <alignment horizontal="center" vertical="center"/>
    </xf>
    <xf numFmtId="2" fontId="16" fillId="9" borderId="42" xfId="0" applyNumberFormat="1" applyFont="1" applyFill="1" applyBorder="1" applyAlignment="1">
      <alignment horizontal="center" vertical="center"/>
    </xf>
    <xf numFmtId="2" fontId="16" fillId="9" borderId="42" xfId="2" applyNumberFormat="1" applyFont="1" applyFill="1" applyBorder="1" applyAlignment="1">
      <alignment horizontal="center" vertical="center"/>
    </xf>
    <xf numFmtId="2" fontId="16" fillId="9" borderId="43" xfId="0" applyNumberFormat="1" applyFont="1" applyFill="1" applyBorder="1" applyAlignment="1">
      <alignment horizontal="center" vertical="center"/>
    </xf>
    <xf numFmtId="0" fontId="16" fillId="9" borderId="58" xfId="0" applyFont="1" applyFill="1" applyBorder="1" applyAlignment="1">
      <alignment horizontal="center" vertical="center"/>
    </xf>
    <xf numFmtId="0" fontId="16" fillId="9" borderId="0" xfId="0" applyFont="1" applyFill="1" applyAlignment="1">
      <alignment horizontal="center" vertical="center"/>
    </xf>
    <xf numFmtId="1" fontId="16" fillId="9" borderId="42" xfId="0" applyNumberFormat="1" applyFont="1" applyFill="1" applyBorder="1" applyAlignment="1">
      <alignment horizontal="center" vertical="center"/>
    </xf>
    <xf numFmtId="0" fontId="16" fillId="9" borderId="59" xfId="0" applyFont="1" applyFill="1" applyBorder="1" applyAlignment="1">
      <alignment horizontal="center" vertical="center"/>
    </xf>
    <xf numFmtId="1" fontId="16" fillId="9" borderId="1" xfId="2" applyNumberFormat="1" applyFont="1" applyFill="1" applyBorder="1" applyAlignment="1">
      <alignment horizontal="center" vertical="center"/>
    </xf>
    <xf numFmtId="0" fontId="16" fillId="9" borderId="40" xfId="0" applyFont="1" applyFill="1" applyBorder="1" applyAlignment="1">
      <alignment horizontal="center" vertical="center"/>
    </xf>
    <xf numFmtId="0" fontId="13" fillId="9" borderId="60" xfId="0" applyFont="1" applyFill="1" applyBorder="1" applyAlignment="1">
      <alignment horizontal="center" vertical="center"/>
    </xf>
    <xf numFmtId="0" fontId="16" fillId="9" borderId="61" xfId="0" applyFont="1" applyFill="1" applyBorder="1" applyAlignment="1">
      <alignment horizontal="center" vertical="center"/>
    </xf>
    <xf numFmtId="9" fontId="16" fillId="9" borderId="61" xfId="2" applyFont="1" applyFill="1" applyBorder="1" applyAlignment="1">
      <alignment horizontal="center" vertical="center"/>
    </xf>
    <xf numFmtId="1" fontId="16" fillId="9" borderId="61" xfId="0" applyNumberFormat="1" applyFont="1" applyFill="1" applyBorder="1" applyAlignment="1">
      <alignment horizontal="center" vertical="center"/>
    </xf>
    <xf numFmtId="9" fontId="16" fillId="9" borderId="62" xfId="2" applyFont="1" applyFill="1" applyBorder="1" applyAlignment="1">
      <alignment horizontal="center" vertical="center"/>
    </xf>
    <xf numFmtId="1" fontId="16" fillId="9" borderId="61" xfId="2" applyNumberFormat="1" applyFont="1" applyFill="1" applyBorder="1" applyAlignment="1">
      <alignment horizontal="center" vertical="center"/>
    </xf>
    <xf numFmtId="0" fontId="16" fillId="9" borderId="62" xfId="0" applyFont="1" applyFill="1" applyBorder="1" applyAlignment="1">
      <alignment horizontal="center" vertical="center"/>
    </xf>
    <xf numFmtId="0" fontId="16" fillId="0" borderId="63" xfId="0" applyFont="1" applyFill="1" applyBorder="1" applyAlignment="1">
      <alignment horizontal="center" vertical="center"/>
    </xf>
    <xf numFmtId="0" fontId="13" fillId="9" borderId="64" xfId="0" applyFont="1" applyFill="1" applyBorder="1" applyAlignment="1">
      <alignment horizontal="center" vertical="center"/>
    </xf>
    <xf numFmtId="0" fontId="16" fillId="9" borderId="64" xfId="0" applyFont="1" applyFill="1" applyBorder="1" applyAlignment="1">
      <alignment horizontal="center" vertical="center"/>
    </xf>
    <xf numFmtId="1" fontId="16" fillId="9" borderId="64" xfId="0" applyNumberFormat="1" applyFont="1" applyFill="1" applyBorder="1" applyAlignment="1">
      <alignment horizontal="center" vertical="center"/>
    </xf>
    <xf numFmtId="9" fontId="16" fillId="9" borderId="64" xfId="2" applyFont="1" applyFill="1" applyBorder="1" applyAlignment="1">
      <alignment horizontal="center" vertical="center"/>
    </xf>
    <xf numFmtId="9" fontId="16" fillId="9" borderId="65" xfId="2" applyFont="1" applyFill="1" applyBorder="1" applyAlignment="1">
      <alignment horizontal="center" vertical="center"/>
    </xf>
    <xf numFmtId="0" fontId="16" fillId="9" borderId="60" xfId="0" applyFont="1" applyFill="1" applyBorder="1" applyAlignment="1">
      <alignment horizontal="center" vertical="center"/>
    </xf>
    <xf numFmtId="0" fontId="13" fillId="9" borderId="61" xfId="0" applyFont="1" applyFill="1" applyBorder="1" applyAlignment="1">
      <alignment horizontal="center" vertical="center"/>
    </xf>
    <xf numFmtId="0" fontId="13" fillId="9" borderId="63" xfId="0" applyFont="1" applyFill="1" applyBorder="1" applyAlignment="1">
      <alignment horizontal="center" vertical="center"/>
    </xf>
    <xf numFmtId="9" fontId="16" fillId="0" borderId="66" xfId="2" applyFont="1" applyFill="1" applyBorder="1" applyAlignment="1">
      <alignment horizontal="center" vertical="center"/>
    </xf>
    <xf numFmtId="0" fontId="16" fillId="0" borderId="67" xfId="0" applyFont="1" applyFill="1" applyBorder="1" applyAlignment="1">
      <alignment horizontal="center" vertical="center"/>
    </xf>
    <xf numFmtId="0" fontId="16" fillId="9" borderId="63" xfId="0" applyFont="1" applyFill="1" applyBorder="1" applyAlignment="1">
      <alignment horizontal="center" vertical="center"/>
    </xf>
    <xf numFmtId="0" fontId="16" fillId="9" borderId="65" xfId="0" applyFont="1" applyFill="1" applyBorder="1" applyAlignment="1">
      <alignment horizontal="center" vertical="center"/>
    </xf>
    <xf numFmtId="0" fontId="13" fillId="9" borderId="68" xfId="0" applyFont="1" applyFill="1" applyBorder="1" applyAlignment="1">
      <alignment horizontal="center" vertical="center"/>
    </xf>
    <xf numFmtId="9" fontId="16" fillId="9" borderId="69" xfId="2" applyFont="1" applyFill="1" applyBorder="1" applyAlignment="1">
      <alignment horizontal="center" vertical="center"/>
    </xf>
    <xf numFmtId="0" fontId="13" fillId="9" borderId="69" xfId="0" applyFont="1" applyFill="1" applyBorder="1" applyAlignment="1">
      <alignment horizontal="center" vertical="center"/>
    </xf>
    <xf numFmtId="0" fontId="16" fillId="9" borderId="69" xfId="0" applyFont="1" applyFill="1" applyBorder="1" applyAlignment="1">
      <alignment horizontal="center" vertical="center"/>
    </xf>
    <xf numFmtId="0" fontId="16" fillId="9" borderId="70" xfId="0" applyFont="1" applyFill="1" applyBorder="1" applyAlignment="1">
      <alignment horizontal="center" vertical="center"/>
    </xf>
    <xf numFmtId="0" fontId="16" fillId="9" borderId="71" xfId="0" applyFont="1" applyFill="1" applyBorder="1" applyAlignment="1">
      <alignment horizontal="center" vertical="center"/>
    </xf>
    <xf numFmtId="2" fontId="16" fillId="9" borderId="64" xfId="0" applyNumberFormat="1" applyFont="1" applyFill="1" applyBorder="1" applyAlignment="1">
      <alignment horizontal="center" vertical="center"/>
    </xf>
    <xf numFmtId="2" fontId="16" fillId="9" borderId="64" xfId="2" applyNumberFormat="1" applyFont="1" applyFill="1" applyBorder="1" applyAlignment="1">
      <alignment horizontal="center" vertical="center"/>
    </xf>
    <xf numFmtId="2" fontId="16" fillId="9" borderId="65" xfId="0" applyNumberFormat="1" applyFont="1" applyFill="1" applyBorder="1" applyAlignment="1">
      <alignment horizontal="center" vertical="center"/>
    </xf>
    <xf numFmtId="0" fontId="7" fillId="0" borderId="67" xfId="0" applyFont="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Border="1" applyAlignment="1">
      <alignment horizontal="center" vertical="center"/>
    </xf>
    <xf numFmtId="0" fontId="7" fillId="0" borderId="72" xfId="0" applyFont="1" applyBorder="1" applyAlignment="1">
      <alignment horizontal="center" vertical="center"/>
    </xf>
    <xf numFmtId="0" fontId="7" fillId="0" borderId="29" xfId="0" applyFont="1" applyFill="1" applyBorder="1" applyAlignment="1" applyProtection="1">
      <alignment horizontal="center" vertical="center"/>
      <protection locked="0"/>
    </xf>
    <xf numFmtId="0" fontId="7" fillId="10" borderId="30"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9" fontId="7" fillId="11" borderId="30" xfId="2" applyFont="1" applyFill="1" applyBorder="1" applyAlignment="1" applyProtection="1">
      <alignment horizontal="center" vertical="center"/>
      <protection locked="0"/>
    </xf>
    <xf numFmtId="1" fontId="7" fillId="0" borderId="30" xfId="2" applyNumberFormat="1" applyFont="1" applyBorder="1" applyAlignment="1" applyProtection="1">
      <alignment horizontal="center" vertical="center"/>
      <protection locked="0"/>
    </xf>
    <xf numFmtId="9" fontId="7" fillId="11" borderId="31" xfId="2"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11" borderId="27" xfId="0" applyFont="1" applyFill="1" applyBorder="1" applyAlignment="1" applyProtection="1">
      <alignment horizontal="center" vertical="center"/>
      <protection locked="0"/>
    </xf>
    <xf numFmtId="9" fontId="7" fillId="11" borderId="27" xfId="2" applyFont="1" applyFill="1" applyBorder="1" applyAlignment="1" applyProtection="1">
      <alignment horizontal="center" vertical="center"/>
      <protection locked="0"/>
    </xf>
    <xf numFmtId="9" fontId="7" fillId="0" borderId="27" xfId="2" applyFont="1" applyBorder="1" applyAlignment="1" applyProtection="1">
      <alignment horizontal="center" vertical="center"/>
      <protection locked="0"/>
    </xf>
    <xf numFmtId="9" fontId="17" fillId="11" borderId="27" xfId="2" applyFont="1" applyFill="1" applyBorder="1" applyAlignment="1" applyProtection="1">
      <alignment horizontal="center" vertical="center"/>
      <protection locked="0"/>
    </xf>
    <xf numFmtId="0" fontId="7" fillId="11" borderId="30"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9" fontId="7" fillId="0" borderId="0" xfId="2"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9" fontId="7" fillId="0" borderId="30" xfId="2" applyFont="1" applyBorder="1" applyAlignment="1" applyProtection="1">
      <alignment horizontal="center" vertical="center"/>
      <protection locked="0"/>
    </xf>
    <xf numFmtId="164" fontId="7" fillId="0" borderId="30" xfId="1"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2" fontId="7" fillId="10" borderId="30" xfId="0" applyNumberFormat="1" applyFont="1" applyFill="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10" borderId="42" xfId="0" applyFont="1" applyFill="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9" fontId="7" fillId="11" borderId="42" xfId="2" applyFont="1" applyFill="1" applyBorder="1" applyAlignment="1" applyProtection="1">
      <alignment horizontal="center" vertical="center"/>
      <protection locked="0"/>
    </xf>
    <xf numFmtId="1" fontId="7" fillId="0" borderId="42" xfId="2" applyNumberFormat="1" applyFont="1" applyBorder="1" applyAlignment="1" applyProtection="1">
      <alignment horizontal="center" vertical="center"/>
      <protection locked="0"/>
    </xf>
    <xf numFmtId="9" fontId="7" fillId="11" borderId="43" xfId="2"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1" fontId="7" fillId="11" borderId="1" xfId="0" applyNumberFormat="1" applyFont="1" applyFill="1" applyBorder="1" applyAlignment="1" applyProtection="1">
      <alignment horizontal="center" vertical="center"/>
      <protection locked="0"/>
    </xf>
    <xf numFmtId="9" fontId="7" fillId="11" borderId="1" xfId="2" applyFont="1" applyFill="1" applyBorder="1" applyAlignment="1" applyProtection="1">
      <alignment horizontal="center" vertical="center"/>
      <protection locked="0"/>
    </xf>
    <xf numFmtId="0" fontId="7" fillId="11" borderId="42" xfId="0" applyFont="1" applyFill="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9" fontId="7" fillId="0" borderId="42" xfId="2" applyFont="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9" fontId="7" fillId="0" borderId="1" xfId="2" applyFont="1" applyBorder="1" applyAlignment="1" applyProtection="1">
      <alignment horizontal="center" vertical="center"/>
      <protection locked="0"/>
    </xf>
    <xf numFmtId="0" fontId="7" fillId="11" borderId="1" xfId="0" applyFont="1" applyFill="1" applyBorder="1" applyAlignment="1" applyProtection="1">
      <alignment horizontal="center" vertical="center"/>
      <protection locked="0"/>
    </xf>
    <xf numFmtId="14" fontId="7" fillId="0" borderId="42"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9" fontId="7" fillId="11" borderId="64" xfId="2" applyFont="1" applyFill="1" applyBorder="1" applyAlignment="1" applyProtection="1">
      <alignment horizontal="center" vertical="center"/>
      <protection locked="0"/>
    </xf>
    <xf numFmtId="1" fontId="7" fillId="0" borderId="64" xfId="2" applyNumberFormat="1" applyFont="1" applyBorder="1" applyAlignment="1" applyProtection="1">
      <alignment horizontal="center" vertical="center"/>
      <protection locked="0"/>
    </xf>
    <xf numFmtId="9" fontId="7" fillId="11" borderId="65" xfId="2" applyFont="1" applyFill="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9" fontId="7" fillId="11" borderId="61" xfId="2" applyFont="1" applyFill="1" applyBorder="1" applyAlignment="1" applyProtection="1">
      <alignment horizontal="center" vertical="center"/>
      <protection locked="0"/>
    </xf>
    <xf numFmtId="9" fontId="7" fillId="0" borderId="61" xfId="2" applyFont="1" applyBorder="1" applyAlignment="1" applyProtection="1">
      <alignment horizontal="center" vertical="center"/>
      <protection locked="0"/>
    </xf>
    <xf numFmtId="0" fontId="7" fillId="0" borderId="67" xfId="0" applyFont="1" applyFill="1" applyBorder="1" applyAlignment="1" applyProtection="1">
      <alignment horizontal="center" vertical="center"/>
      <protection locked="0"/>
    </xf>
    <xf numFmtId="0" fontId="7" fillId="11" borderId="61" xfId="0" applyFont="1" applyFill="1" applyBorder="1" applyAlignment="1" applyProtection="1">
      <alignment horizontal="center" vertical="center"/>
      <protection locked="0"/>
    </xf>
    <xf numFmtId="0" fontId="7" fillId="11" borderId="64" xfId="0" applyFont="1" applyFill="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4"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9" fontId="7" fillId="0" borderId="64" xfId="2" applyFont="1" applyBorder="1" applyAlignment="1" applyProtection="1">
      <alignment horizontal="center" vertical="center"/>
      <protection locked="0"/>
    </xf>
    <xf numFmtId="0" fontId="7" fillId="0" borderId="75" xfId="0" applyFont="1" applyBorder="1" applyAlignment="1" applyProtection="1">
      <alignment horizontal="center" vertical="center"/>
      <protection locked="0"/>
    </xf>
    <xf numFmtId="0" fontId="7" fillId="0" borderId="0" xfId="0" applyFont="1" applyFill="1"/>
    <xf numFmtId="9" fontId="7" fillId="0" borderId="57" xfId="2" applyFont="1" applyBorder="1" applyAlignment="1">
      <alignment horizontal="center" vertical="center"/>
    </xf>
    <xf numFmtId="0" fontId="7" fillId="0" borderId="0" xfId="0" applyFont="1" applyFill="1" applyAlignment="1">
      <alignment horizontal="center" vertical="top" textRotation="90"/>
    </xf>
    <xf numFmtId="0" fontId="7" fillId="0" borderId="0" xfId="0" applyFont="1" applyFill="1" applyAlignment="1">
      <alignment horizontal="center" vertical="top" textRotation="90" wrapText="1"/>
    </xf>
    <xf numFmtId="0" fontId="7" fillId="0" borderId="0" xfId="0" applyFont="1" applyFill="1" applyBorder="1" applyAlignment="1">
      <alignment horizontal="center" vertical="top" textRotation="90"/>
    </xf>
    <xf numFmtId="0" fontId="7" fillId="0" borderId="0" xfId="0" applyFont="1" applyFill="1" applyAlignment="1">
      <alignment horizontal="center" vertical="top" textRotation="90"/>
    </xf>
    <xf numFmtId="0" fontId="7" fillId="0" borderId="72" xfId="0" applyFont="1" applyBorder="1" applyAlignment="1">
      <alignment horizontal="center" vertical="center"/>
    </xf>
    <xf numFmtId="0" fontId="17" fillId="0" borderId="30" xfId="0" applyFont="1" applyBorder="1" applyAlignment="1" applyProtection="1">
      <alignment horizontal="center" vertical="center"/>
      <protection locked="0"/>
    </xf>
    <xf numFmtId="9" fontId="17" fillId="0" borderId="30" xfId="2" applyFont="1" applyBorder="1" applyAlignment="1" applyProtection="1">
      <alignment horizontal="center" vertical="center"/>
      <protection locked="0"/>
    </xf>
    <xf numFmtId="0" fontId="8" fillId="2" borderId="81" xfId="0" applyFont="1" applyFill="1" applyBorder="1" applyAlignment="1">
      <alignment horizontal="center" vertical="center" textRotation="90" wrapText="1"/>
    </xf>
    <xf numFmtId="0" fontId="7" fillId="0" borderId="81" xfId="0" applyFont="1" applyBorder="1"/>
    <xf numFmtId="0" fontId="10" fillId="2" borderId="1" xfId="0" applyFont="1" applyFill="1" applyBorder="1" applyAlignment="1">
      <alignment horizontal="center" vertical="center" textRotation="90" wrapText="1"/>
    </xf>
    <xf numFmtId="0" fontId="17" fillId="8" borderId="12" xfId="0" applyFont="1" applyFill="1" applyBorder="1" applyAlignment="1">
      <alignment horizontal="center" vertical="center"/>
    </xf>
    <xf numFmtId="0" fontId="17" fillId="8" borderId="1" xfId="0" applyFont="1" applyFill="1" applyBorder="1" applyAlignment="1">
      <alignment horizontal="center" vertical="center"/>
    </xf>
    <xf numFmtId="9" fontId="23" fillId="8" borderId="8" xfId="2" applyFont="1" applyFill="1" applyBorder="1" applyAlignment="1">
      <alignment horizontal="center" vertical="center"/>
    </xf>
    <xf numFmtId="0" fontId="23" fillId="9" borderId="8" xfId="0" applyFont="1" applyFill="1" applyBorder="1" applyAlignment="1">
      <alignment horizontal="center" vertical="center"/>
    </xf>
    <xf numFmtId="9" fontId="23" fillId="9" borderId="8" xfId="2" applyFont="1" applyFill="1" applyBorder="1" applyAlignment="1">
      <alignment horizontal="center" vertical="center"/>
    </xf>
    <xf numFmtId="0" fontId="23" fillId="9" borderId="1" xfId="0" applyFont="1" applyFill="1" applyBorder="1" applyAlignment="1">
      <alignment horizontal="center" vertical="center"/>
    </xf>
    <xf numFmtId="9" fontId="23" fillId="9" borderId="1" xfId="2" applyFont="1" applyFill="1" applyBorder="1" applyAlignment="1">
      <alignment horizontal="center" vertical="center"/>
    </xf>
    <xf numFmtId="1" fontId="23" fillId="9" borderId="1" xfId="0" applyNumberFormat="1" applyFont="1" applyFill="1" applyBorder="1" applyAlignment="1">
      <alignment horizontal="center" vertical="center"/>
    </xf>
    <xf numFmtId="0" fontId="23" fillId="9" borderId="61" xfId="0" applyFont="1" applyFill="1" applyBorder="1" applyAlignment="1">
      <alignment horizontal="center" vertical="center"/>
    </xf>
    <xf numFmtId="9" fontId="23" fillId="9" borderId="61" xfId="2" applyFont="1" applyFill="1" applyBorder="1" applyAlignment="1">
      <alignment horizontal="center" vertical="center"/>
    </xf>
    <xf numFmtId="0" fontId="17" fillId="0" borderId="0" xfId="0" applyFont="1"/>
    <xf numFmtId="0" fontId="17" fillId="0" borderId="0" xfId="0" applyFont="1" applyFill="1" applyAlignment="1">
      <alignment horizontal="center" vertical="top" textRotation="90"/>
    </xf>
    <xf numFmtId="0" fontId="17" fillId="0" borderId="42" xfId="0" applyFont="1" applyBorder="1"/>
    <xf numFmtId="0" fontId="17" fillId="8" borderId="42" xfId="0" applyFont="1" applyFill="1" applyBorder="1" applyAlignment="1">
      <alignment horizontal="center" vertical="center"/>
    </xf>
    <xf numFmtId="9" fontId="23" fillId="8" borderId="42" xfId="2" applyFont="1" applyFill="1" applyBorder="1" applyAlignment="1">
      <alignment horizontal="center" vertical="center"/>
    </xf>
    <xf numFmtId="0" fontId="23" fillId="9" borderId="42" xfId="0" applyFont="1" applyFill="1" applyBorder="1" applyAlignment="1">
      <alignment horizontal="center" vertical="center"/>
    </xf>
    <xf numFmtId="0" fontId="23" fillId="9" borderId="64" xfId="0" applyFont="1" applyFill="1" applyBorder="1" applyAlignment="1">
      <alignment horizontal="center" vertical="center"/>
    </xf>
    <xf numFmtId="0" fontId="17" fillId="0" borderId="67" xfId="0" applyFont="1" applyBorder="1" applyAlignment="1">
      <alignment horizontal="center" vertical="center"/>
    </xf>
    <xf numFmtId="0" fontId="17" fillId="0" borderId="42" xfId="0" applyFont="1" applyBorder="1" applyAlignment="1" applyProtection="1">
      <alignment horizontal="center" vertical="center"/>
      <protection locked="0"/>
    </xf>
    <xf numFmtId="0" fontId="10" fillId="0" borderId="0" xfId="0" applyFont="1" applyBorder="1" applyAlignment="1">
      <alignment horizontal="center"/>
    </xf>
    <xf numFmtId="0" fontId="10" fillId="0" borderId="0" xfId="0" applyFont="1" applyFill="1" applyBorder="1" applyAlignment="1">
      <alignment horizontal="center"/>
    </xf>
    <xf numFmtId="0" fontId="10" fillId="4" borderId="0" xfId="0" applyFont="1" applyFill="1" applyBorder="1" applyAlignment="1">
      <alignment horizontal="center"/>
    </xf>
    <xf numFmtId="0" fontId="17" fillId="0" borderId="22" xfId="0" applyFont="1" applyFill="1" applyBorder="1" applyAlignment="1">
      <alignment horizontal="center"/>
    </xf>
    <xf numFmtId="0" fontId="10" fillId="2" borderId="43" xfId="0" applyFont="1" applyFill="1" applyBorder="1" applyAlignment="1">
      <alignment horizontal="center" vertical="center" textRotation="90" wrapText="1"/>
    </xf>
    <xf numFmtId="0" fontId="17" fillId="0" borderId="22" xfId="0" applyFont="1" applyFill="1" applyBorder="1"/>
    <xf numFmtId="0" fontId="17" fillId="8" borderId="43" xfId="0" applyFont="1" applyFill="1" applyBorder="1" applyAlignment="1">
      <alignment horizontal="center" vertical="center"/>
    </xf>
    <xf numFmtId="9" fontId="23" fillId="8" borderId="43" xfId="2" applyFont="1" applyFill="1" applyBorder="1" applyAlignment="1">
      <alignment horizontal="center" vertical="center"/>
    </xf>
    <xf numFmtId="2" fontId="23" fillId="9" borderId="43" xfId="0" applyNumberFormat="1" applyFont="1" applyFill="1" applyBorder="1" applyAlignment="1">
      <alignment horizontal="center" vertical="center"/>
    </xf>
    <xf numFmtId="2" fontId="23" fillId="9" borderId="65" xfId="0" applyNumberFormat="1"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Fill="1" applyBorder="1" applyAlignment="1">
      <alignment horizontal="center" vertical="center"/>
    </xf>
    <xf numFmtId="164" fontId="17" fillId="0" borderId="1" xfId="1" applyNumberFormat="1" applyFont="1" applyBorder="1" applyAlignment="1" applyProtection="1">
      <alignment horizontal="center" vertical="center"/>
      <protection locked="0"/>
    </xf>
    <xf numFmtId="9" fontId="17" fillId="0" borderId="1" xfId="2" applyFont="1" applyFill="1" applyBorder="1" applyAlignment="1" applyProtection="1">
      <alignment horizontal="center" vertical="center"/>
      <protection locked="0"/>
    </xf>
    <xf numFmtId="0" fontId="17" fillId="0" borderId="0" xfId="0" applyFont="1" applyFill="1"/>
    <xf numFmtId="0" fontId="3" fillId="0" borderId="0" xfId="0" applyFont="1" applyBorder="1" applyAlignment="1">
      <alignment vertical="top"/>
    </xf>
    <xf numFmtId="0" fontId="24" fillId="0" borderId="0" xfId="0" applyFont="1"/>
    <xf numFmtId="0" fontId="24" fillId="0" borderId="1" xfId="0" quotePrefix="1" applyFont="1" applyBorder="1" applyAlignment="1" applyProtection="1">
      <alignment horizontal="center" vertical="center"/>
      <protection locked="0"/>
    </xf>
    <xf numFmtId="9" fontId="28" fillId="8" borderId="54" xfId="2" applyFont="1" applyFill="1" applyBorder="1" applyAlignment="1">
      <alignment horizontal="center" vertical="center"/>
    </xf>
    <xf numFmtId="9" fontId="28" fillId="8" borderId="8" xfId="2" applyFont="1" applyFill="1" applyBorder="1" applyAlignment="1">
      <alignment horizontal="center" vertical="center"/>
    </xf>
    <xf numFmtId="0" fontId="29" fillId="8" borderId="3" xfId="0" applyFont="1" applyFill="1" applyBorder="1" applyAlignment="1">
      <alignment horizontal="center" vertical="center"/>
    </xf>
    <xf numFmtId="0" fontId="24" fillId="8" borderId="1" xfId="0" applyFont="1" applyFill="1" applyBorder="1" applyAlignment="1">
      <alignment horizontal="center" vertical="center"/>
    </xf>
    <xf numFmtId="0" fontId="27" fillId="8" borderId="3" xfId="0" applyFont="1" applyFill="1" applyBorder="1" applyAlignment="1">
      <alignment horizontal="center" vertical="center"/>
    </xf>
    <xf numFmtId="0" fontId="24" fillId="8" borderId="12" xfId="0" applyFont="1" applyFill="1" applyBorder="1" applyAlignment="1">
      <alignment horizontal="center" vertical="center"/>
    </xf>
    <xf numFmtId="0" fontId="27" fillId="0" borderId="0" xfId="0" applyFont="1"/>
    <xf numFmtId="0" fontId="3" fillId="0" borderId="0" xfId="0" applyFont="1"/>
    <xf numFmtId="0" fontId="3" fillId="0" borderId="0" xfId="0" applyFont="1" applyAlignment="1">
      <alignment wrapText="1"/>
    </xf>
    <xf numFmtId="0" fontId="3" fillId="0" borderId="0" xfId="0" applyFont="1" applyAlignment="1">
      <alignment horizontal="center" vertical="top"/>
    </xf>
    <xf numFmtId="0" fontId="34" fillId="0" borderId="0" xfId="0" applyFont="1" applyAlignment="1">
      <alignment vertical="top" wrapText="1"/>
    </xf>
    <xf numFmtId="0" fontId="34" fillId="0" borderId="1" xfId="0" applyFont="1" applyBorder="1" applyAlignment="1">
      <alignment vertical="top" wrapText="1"/>
    </xf>
    <xf numFmtId="0" fontId="34" fillId="0" borderId="1" xfId="0" applyFont="1" applyBorder="1" applyAlignment="1">
      <alignment horizontal="left" vertical="top" wrapText="1"/>
    </xf>
    <xf numFmtId="0" fontId="35" fillId="0" borderId="1" xfId="0" applyFont="1" applyBorder="1" applyAlignment="1">
      <alignment vertical="center" wrapText="1"/>
    </xf>
    <xf numFmtId="0" fontId="35" fillId="0" borderId="12" xfId="0" applyFont="1" applyBorder="1" applyAlignment="1">
      <alignment horizontal="center" vertical="center" wrapText="1"/>
    </xf>
    <xf numFmtId="0" fontId="34" fillId="8" borderId="1" xfId="0" applyFont="1" applyFill="1" applyBorder="1" applyAlignment="1">
      <alignment vertical="top" wrapText="1"/>
    </xf>
    <xf numFmtId="0" fontId="34" fillId="0" borderId="1" xfId="0" applyFont="1" applyFill="1" applyBorder="1" applyAlignment="1">
      <alignment vertical="top" wrapText="1"/>
    </xf>
    <xf numFmtId="0" fontId="34" fillId="5" borderId="1" xfId="0" applyFont="1" applyFill="1" applyBorder="1" applyAlignment="1">
      <alignment vertical="top" wrapText="1"/>
    </xf>
    <xf numFmtId="0" fontId="34" fillId="8" borderId="1" xfId="0" applyFont="1" applyFill="1" applyBorder="1" applyAlignment="1">
      <alignment horizontal="left" vertical="top" wrapText="1"/>
    </xf>
    <xf numFmtId="0" fontId="35" fillId="0" borderId="1" xfId="0" applyFont="1" applyBorder="1" applyAlignment="1">
      <alignment vertical="top" wrapText="1"/>
    </xf>
    <xf numFmtId="0" fontId="34" fillId="0" borderId="0" xfId="0" applyFont="1" applyAlignment="1">
      <alignment vertical="top"/>
    </xf>
    <xf numFmtId="0" fontId="34" fillId="0" borderId="0" xfId="0" applyFont="1" applyAlignment="1">
      <alignment horizontal="left" vertical="center"/>
    </xf>
    <xf numFmtId="0" fontId="2" fillId="0" borderId="0" xfId="0" applyFont="1"/>
    <xf numFmtId="0" fontId="3" fillId="0" borderId="0" xfId="0" applyFont="1" applyBorder="1" applyAlignment="1" applyProtection="1">
      <alignment vertical="top"/>
      <protection locked="0"/>
    </xf>
    <xf numFmtId="0" fontId="3" fillId="0" borderId="0" xfId="0" applyFont="1" applyAlignment="1" applyProtection="1">
      <alignment vertical="top"/>
      <protection locked="0"/>
    </xf>
    <xf numFmtId="0" fontId="24" fillId="0" borderId="0" xfId="0" applyFont="1" applyProtection="1">
      <protection locked="0"/>
    </xf>
    <xf numFmtId="0" fontId="24" fillId="0" borderId="1" xfId="0" applyFont="1" applyBorder="1" applyProtection="1">
      <protection locked="0"/>
    </xf>
    <xf numFmtId="0" fontId="27" fillId="0" borderId="0" xfId="0" applyFont="1" applyProtection="1">
      <protection locked="0"/>
    </xf>
    <xf numFmtId="0" fontId="27" fillId="0" borderId="1" xfId="0" applyFont="1" applyBorder="1" applyProtection="1">
      <protection locked="0"/>
    </xf>
    <xf numFmtId="0" fontId="27" fillId="0" borderId="1" xfId="0" applyFont="1" applyBorder="1" applyAlignment="1" applyProtection="1">
      <alignment horizontal="center"/>
      <protection locked="0"/>
    </xf>
    <xf numFmtId="0" fontId="30" fillId="2" borderId="39" xfId="0" applyFont="1" applyFill="1" applyBorder="1" applyAlignment="1" applyProtection="1">
      <alignment horizontal="center" vertical="center" textRotation="90" wrapText="1"/>
      <protection locked="0"/>
    </xf>
    <xf numFmtId="0" fontId="24" fillId="0" borderId="1" xfId="0" applyFont="1" applyBorder="1" applyAlignment="1" applyProtection="1">
      <alignment horizontal="center"/>
      <protection locked="0"/>
    </xf>
    <xf numFmtId="0" fontId="8" fillId="0" borderId="15" xfId="0" applyFont="1" applyFill="1" applyBorder="1" applyAlignment="1">
      <alignment horizontal="center"/>
    </xf>
    <xf numFmtId="0" fontId="8" fillId="0" borderId="43" xfId="0" applyFont="1" applyFill="1" applyBorder="1" applyAlignment="1">
      <alignment horizontal="center"/>
    </xf>
    <xf numFmtId="0" fontId="7" fillId="0" borderId="0" xfId="0" applyFont="1" applyFill="1" applyAlignment="1">
      <alignment horizontal="center" vertical="top" textRotation="90"/>
    </xf>
    <xf numFmtId="0" fontId="7" fillId="0" borderId="72" xfId="0" applyFont="1" applyBorder="1" applyAlignment="1">
      <alignment horizontal="center" vertical="center"/>
    </xf>
    <xf numFmtId="0" fontId="7" fillId="0" borderId="0" xfId="0" applyFont="1" applyFill="1" applyAlignment="1">
      <alignment horizontal="center" vertical="top" textRotation="90" wrapText="1"/>
    </xf>
    <xf numFmtId="164" fontId="7" fillId="0" borderId="31" xfId="1" applyNumberFormat="1" applyFont="1" applyBorder="1" applyAlignment="1" applyProtection="1">
      <alignment horizontal="center" vertical="center"/>
      <protection locked="0"/>
    </xf>
    <xf numFmtId="0" fontId="7" fillId="10" borderId="27" xfId="0" applyFont="1" applyFill="1" applyBorder="1" applyAlignment="1" applyProtection="1">
      <alignment horizontal="center" vertical="center"/>
    </xf>
    <xf numFmtId="0" fontId="14" fillId="12" borderId="27" xfId="0" applyFont="1" applyFill="1" applyBorder="1" applyAlignment="1" applyProtection="1">
      <alignment horizontal="center" vertical="center"/>
    </xf>
    <xf numFmtId="0" fontId="7" fillId="12" borderId="27" xfId="0" applyFont="1" applyFill="1" applyBorder="1" applyAlignment="1" applyProtection="1">
      <alignment horizontal="center" vertical="center"/>
    </xf>
    <xf numFmtId="0" fontId="7" fillId="11" borderId="30" xfId="0" applyFont="1" applyFill="1" applyBorder="1" applyAlignment="1" applyProtection="1">
      <alignment horizontal="center" vertical="center"/>
    </xf>
    <xf numFmtId="0" fontId="7" fillId="12" borderId="30" xfId="0" applyFont="1" applyFill="1" applyBorder="1" applyAlignment="1" applyProtection="1">
      <alignment horizontal="center" vertical="center"/>
    </xf>
    <xf numFmtId="0" fontId="7" fillId="10" borderId="30" xfId="0" applyFont="1" applyFill="1" applyBorder="1" applyAlignment="1" applyProtection="1">
      <alignment horizontal="center" vertical="center"/>
    </xf>
    <xf numFmtId="0" fontId="7" fillId="0" borderId="30" xfId="0" applyFont="1" applyBorder="1" applyAlignment="1" applyProtection="1">
      <alignment horizontal="center" vertical="center"/>
    </xf>
    <xf numFmtId="0" fontId="7" fillId="10" borderId="1" xfId="0" applyFont="1" applyFill="1" applyBorder="1" applyAlignment="1" applyProtection="1">
      <alignment horizontal="center" vertical="center"/>
    </xf>
    <xf numFmtId="0" fontId="14" fillId="12" borderId="1" xfId="0" applyFont="1" applyFill="1" applyBorder="1" applyAlignment="1" applyProtection="1">
      <alignment horizontal="center" vertical="center"/>
    </xf>
    <xf numFmtId="0" fontId="7" fillId="12" borderId="1" xfId="0" applyFont="1" applyFill="1" applyBorder="1" applyAlignment="1" applyProtection="1">
      <alignment horizontal="center" vertical="center"/>
    </xf>
    <xf numFmtId="0" fontId="7" fillId="11" borderId="42" xfId="0" applyFont="1" applyFill="1" applyBorder="1" applyAlignment="1" applyProtection="1">
      <alignment horizontal="center" vertical="center"/>
    </xf>
    <xf numFmtId="0" fontId="7" fillId="12" borderId="42" xfId="0" applyFont="1" applyFill="1" applyBorder="1" applyAlignment="1" applyProtection="1">
      <alignment horizontal="center" vertical="center"/>
    </xf>
    <xf numFmtId="0" fontId="7" fillId="10" borderId="42" xfId="0" applyFont="1" applyFill="1" applyBorder="1" applyAlignment="1" applyProtection="1">
      <alignment horizontal="center" vertical="center"/>
    </xf>
    <xf numFmtId="0" fontId="7" fillId="10" borderId="61" xfId="0" applyFont="1" applyFill="1" applyBorder="1" applyAlignment="1" applyProtection="1">
      <alignment horizontal="center" vertical="center"/>
    </xf>
    <xf numFmtId="0" fontId="14" fillId="12" borderId="61" xfId="0" applyFont="1" applyFill="1" applyBorder="1" applyAlignment="1" applyProtection="1">
      <alignment horizontal="center" vertical="center"/>
    </xf>
    <xf numFmtId="0" fontId="7" fillId="12" borderId="61" xfId="0" applyFont="1" applyFill="1" applyBorder="1" applyAlignment="1" applyProtection="1">
      <alignment horizontal="center" vertical="center"/>
    </xf>
    <xf numFmtId="0" fontId="7" fillId="11" borderId="64" xfId="0" applyFont="1" applyFill="1" applyBorder="1" applyAlignment="1" applyProtection="1">
      <alignment horizontal="center" vertical="center"/>
    </xf>
    <xf numFmtId="0" fontId="7" fillId="12" borderId="64" xfId="0" applyFont="1" applyFill="1" applyBorder="1" applyAlignment="1" applyProtection="1">
      <alignment horizontal="center" vertical="center"/>
    </xf>
    <xf numFmtId="0" fontId="7" fillId="10" borderId="64" xfId="0" applyFont="1" applyFill="1" applyBorder="1" applyAlignment="1" applyProtection="1">
      <alignment horizontal="center" vertical="center"/>
    </xf>
    <xf numFmtId="0" fontId="7" fillId="8" borderId="81" xfId="0" applyFont="1" applyFill="1" applyBorder="1" applyAlignment="1">
      <alignment horizontal="center" vertical="center"/>
    </xf>
    <xf numFmtId="9" fontId="14" fillId="8" borderId="81" xfId="2" applyFont="1" applyFill="1" applyBorder="1" applyAlignment="1">
      <alignment horizontal="center" vertical="center"/>
    </xf>
    <xf numFmtId="0" fontId="16" fillId="9" borderId="81" xfId="0" applyFont="1" applyFill="1" applyBorder="1" applyAlignment="1">
      <alignment horizontal="center" vertical="center"/>
    </xf>
    <xf numFmtId="0" fontId="16" fillId="9" borderId="101" xfId="0" applyFont="1" applyFill="1" applyBorder="1" applyAlignment="1">
      <alignment horizontal="center" vertical="center"/>
    </xf>
    <xf numFmtId="0" fontId="10" fillId="2" borderId="81" xfId="0" applyFont="1" applyFill="1" applyBorder="1" applyAlignment="1">
      <alignment horizontal="center" vertical="center" textRotation="90" wrapText="1"/>
    </xf>
    <xf numFmtId="0" fontId="17" fillId="0" borderId="81" xfId="0" applyFont="1" applyBorder="1"/>
    <xf numFmtId="0" fontId="17" fillId="8" borderId="45" xfId="0" applyFont="1" applyFill="1" applyBorder="1" applyAlignment="1">
      <alignment horizontal="center" vertical="center"/>
    </xf>
    <xf numFmtId="9" fontId="23" fillId="8" borderId="45" xfId="2" applyFont="1" applyFill="1" applyBorder="1" applyAlignment="1">
      <alignment horizontal="center" vertical="center"/>
    </xf>
    <xf numFmtId="0" fontId="23" fillId="9" borderId="45" xfId="0" applyFont="1" applyFill="1" applyBorder="1" applyAlignment="1">
      <alignment horizontal="center" vertical="center"/>
    </xf>
    <xf numFmtId="0" fontId="23" fillId="9" borderId="69" xfId="0" applyFont="1" applyFill="1" applyBorder="1" applyAlignment="1">
      <alignment horizontal="center" vertical="center"/>
    </xf>
    <xf numFmtId="0" fontId="32" fillId="0" borderId="83" xfId="0" applyFont="1" applyBorder="1" applyAlignment="1" applyProtection="1">
      <alignment horizontal="center"/>
    </xf>
    <xf numFmtId="0" fontId="27" fillId="0" borderId="1" xfId="0" applyFont="1" applyBorder="1" applyAlignment="1" applyProtection="1">
      <alignment horizontal="center"/>
    </xf>
    <xf numFmtId="0" fontId="24" fillId="8" borderId="12" xfId="0" applyFont="1" applyFill="1" applyBorder="1" applyAlignment="1" applyProtection="1">
      <alignment horizontal="center" vertical="center"/>
    </xf>
    <xf numFmtId="0" fontId="24" fillId="8" borderId="1" xfId="0" applyFont="1" applyFill="1" applyBorder="1" applyAlignment="1" applyProtection="1">
      <alignment horizontal="center" vertical="center"/>
    </xf>
    <xf numFmtId="9" fontId="28" fillId="8" borderId="8" xfId="2" applyFont="1" applyFill="1" applyBorder="1" applyAlignment="1" applyProtection="1">
      <alignment horizontal="center" vertical="center"/>
    </xf>
    <xf numFmtId="2" fontId="25" fillId="9" borderId="1" xfId="2" applyNumberFormat="1" applyFont="1" applyFill="1" applyBorder="1" applyAlignment="1" applyProtection="1">
      <alignment horizontal="center" vertical="center"/>
    </xf>
    <xf numFmtId="0" fontId="24" fillId="0" borderId="0" xfId="0" applyFont="1" applyProtection="1"/>
    <xf numFmtId="0" fontId="27" fillId="0" borderId="1" xfId="0" applyFont="1" applyBorder="1" applyProtection="1"/>
    <xf numFmtId="9" fontId="28" fillId="8" borderId="54" xfId="2" applyFont="1" applyFill="1" applyBorder="1" applyAlignment="1" applyProtection="1">
      <alignment horizontal="center" vertical="center"/>
    </xf>
    <xf numFmtId="0" fontId="24" fillId="0" borderId="1" xfId="0" applyFont="1" applyBorder="1" applyAlignment="1" applyProtection="1">
      <alignment horizontal="center" vertical="center"/>
      <protection locked="0"/>
    </xf>
    <xf numFmtId="0" fontId="15" fillId="8" borderId="12" xfId="0" applyFont="1" applyFill="1" applyBorder="1" applyAlignment="1">
      <alignment horizontal="center" vertical="center"/>
    </xf>
    <xf numFmtId="0" fontId="15" fillId="8" borderId="1" xfId="0" applyFont="1" applyFill="1" applyBorder="1" applyAlignment="1">
      <alignment horizontal="center" vertical="center"/>
    </xf>
    <xf numFmtId="9" fontId="16" fillId="8" borderId="8" xfId="2" applyFont="1" applyFill="1" applyBorder="1" applyAlignment="1">
      <alignment horizontal="center" vertical="center"/>
    </xf>
    <xf numFmtId="0" fontId="15" fillId="0" borderId="0" xfId="0" applyFont="1"/>
    <xf numFmtId="0" fontId="15" fillId="0" borderId="0" xfId="0" applyFont="1" applyFill="1" applyAlignment="1">
      <alignment horizontal="center" vertical="top" textRotation="90"/>
    </xf>
    <xf numFmtId="0" fontId="26" fillId="13" borderId="97" xfId="0" quotePrefix="1" applyFont="1" applyFill="1" applyBorder="1" applyAlignment="1">
      <alignment horizontal="center" vertical="center"/>
    </xf>
    <xf numFmtId="0" fontId="26" fillId="5" borderId="97" xfId="0" quotePrefix="1" applyFont="1" applyFill="1" applyBorder="1" applyAlignment="1">
      <alignment horizontal="center" vertical="center"/>
    </xf>
    <xf numFmtId="0" fontId="26" fillId="16" borderId="97" xfId="0" quotePrefix="1" applyFont="1" applyFill="1" applyBorder="1" applyAlignment="1">
      <alignment horizontal="center" vertical="center"/>
    </xf>
    <xf numFmtId="9" fontId="25" fillId="13" borderId="42" xfId="2" applyFont="1" applyFill="1" applyBorder="1" applyAlignment="1">
      <alignment horizontal="center" vertical="center"/>
    </xf>
    <xf numFmtId="9" fontId="25" fillId="13" borderId="96" xfId="2" applyFont="1" applyFill="1" applyBorder="1" applyAlignment="1" applyProtection="1">
      <alignment horizontal="center" vertical="center"/>
    </xf>
    <xf numFmtId="9" fontId="25" fillId="5" borderId="42" xfId="2" applyFont="1" applyFill="1" applyBorder="1" applyAlignment="1">
      <alignment horizontal="center" vertical="center"/>
    </xf>
    <xf numFmtId="9" fontId="25" fillId="5" borderId="96" xfId="2" applyFont="1" applyFill="1" applyBorder="1" applyAlignment="1" applyProtection="1">
      <alignment horizontal="center" vertical="center"/>
    </xf>
    <xf numFmtId="9" fontId="25" fillId="16" borderId="42" xfId="2" applyFont="1" applyFill="1" applyBorder="1" applyAlignment="1">
      <alignment horizontal="center" vertical="center"/>
    </xf>
    <xf numFmtId="9" fontId="25" fillId="16" borderId="96" xfId="2" applyFont="1" applyFill="1" applyBorder="1" applyAlignment="1" applyProtection="1">
      <alignment horizontal="center" vertical="center"/>
    </xf>
    <xf numFmtId="0" fontId="26" fillId="17" borderId="5" xfId="0" applyFont="1" applyFill="1" applyBorder="1" applyAlignment="1">
      <alignment horizontal="center" vertical="top" wrapText="1"/>
    </xf>
    <xf numFmtId="2" fontId="25" fillId="17" borderId="11" xfId="2" applyNumberFormat="1" applyFont="1" applyFill="1" applyBorder="1" applyAlignment="1">
      <alignment horizontal="center" vertical="center"/>
    </xf>
    <xf numFmtId="0" fontId="3" fillId="0" borderId="0" xfId="0" applyFont="1" applyFill="1" applyAlignment="1">
      <alignment vertical="top"/>
    </xf>
    <xf numFmtId="165" fontId="16" fillId="9" borderId="1" xfId="0" applyNumberFormat="1" applyFont="1" applyFill="1" applyBorder="1" applyAlignment="1">
      <alignment horizontal="center" vertical="center"/>
    </xf>
    <xf numFmtId="0" fontId="20" fillId="0" borderId="0" xfId="0" applyFont="1"/>
    <xf numFmtId="0" fontId="3" fillId="0" borderId="83" xfId="0" quotePrefix="1" applyNumberFormat="1" applyFont="1" applyFill="1" applyBorder="1" applyAlignment="1" applyProtection="1">
      <alignment vertical="top" wrapText="1" shrinkToFit="1"/>
      <protection locked="0"/>
    </xf>
    <xf numFmtId="0" fontId="3" fillId="0" borderId="0" xfId="0" quotePrefix="1" applyNumberFormat="1" applyFont="1" applyFill="1" applyBorder="1" applyAlignment="1" applyProtection="1">
      <alignment vertical="top" wrapText="1" shrinkToFit="1"/>
      <protection locked="0"/>
    </xf>
    <xf numFmtId="0" fontId="3" fillId="0" borderId="0" xfId="0" applyFont="1" applyAlignment="1">
      <alignment vertical="top"/>
    </xf>
    <xf numFmtId="0" fontId="42" fillId="0" borderId="0" xfId="0" applyFont="1" applyAlignment="1"/>
    <xf numFmtId="0" fontId="0" fillId="0" borderId="0" xfId="0" applyAlignment="1"/>
    <xf numFmtId="4" fontId="0" fillId="0" borderId="0" xfId="0" applyNumberFormat="1"/>
    <xf numFmtId="0" fontId="7" fillId="0" borderId="27" xfId="0" applyFont="1" applyBorder="1" applyAlignment="1" applyProtection="1">
      <alignment horizontal="center" vertical="center"/>
    </xf>
    <xf numFmtId="14" fontId="7" fillId="0" borderId="30" xfId="0" applyNumberFormat="1" applyFont="1" applyBorder="1" applyAlignment="1" applyProtection="1">
      <alignment horizontal="center" vertical="center"/>
      <protection locked="0"/>
    </xf>
    <xf numFmtId="9" fontId="7" fillId="11" borderId="42" xfId="2" applyFont="1" applyFill="1" applyBorder="1" applyAlignment="1" applyProtection="1">
      <alignment horizontal="center" vertical="center"/>
    </xf>
    <xf numFmtId="9" fontId="7" fillId="11" borderId="30" xfId="2" applyFont="1" applyFill="1" applyBorder="1" applyAlignment="1" applyProtection="1">
      <alignment horizontal="center" vertical="center"/>
    </xf>
    <xf numFmtId="9" fontId="7" fillId="11" borderId="31" xfId="2" applyFont="1" applyFill="1" applyBorder="1" applyAlignment="1" applyProtection="1">
      <alignment horizontal="center" vertical="center"/>
    </xf>
    <xf numFmtId="9" fontId="7" fillId="11" borderId="43" xfId="2" applyFont="1" applyFill="1" applyBorder="1" applyAlignment="1" applyProtection="1">
      <alignment horizontal="center" vertical="center"/>
    </xf>
    <xf numFmtId="9" fontId="7" fillId="11" borderId="65" xfId="2" applyFont="1" applyFill="1" applyBorder="1" applyAlignment="1" applyProtection="1">
      <alignment horizontal="center" vertical="center"/>
    </xf>
    <xf numFmtId="0" fontId="7" fillId="11" borderId="27" xfId="0" applyFont="1" applyFill="1" applyBorder="1" applyAlignment="1" applyProtection="1">
      <alignment horizontal="center" vertical="center"/>
    </xf>
    <xf numFmtId="9" fontId="7" fillId="11" borderId="27" xfId="2" applyFont="1" applyFill="1" applyBorder="1" applyAlignment="1" applyProtection="1">
      <alignment horizontal="center" vertical="center"/>
    </xf>
    <xf numFmtId="1" fontId="7" fillId="11" borderId="1" xfId="0" applyNumberFormat="1" applyFont="1" applyFill="1" applyBorder="1" applyAlignment="1" applyProtection="1">
      <alignment horizontal="center" vertical="center"/>
    </xf>
    <xf numFmtId="9" fontId="7" fillId="11" borderId="1" xfId="2" applyFont="1" applyFill="1" applyBorder="1" applyAlignment="1" applyProtection="1">
      <alignment horizontal="center" vertical="center"/>
    </xf>
    <xf numFmtId="9" fontId="17" fillId="11" borderId="27" xfId="2" applyFont="1" applyFill="1" applyBorder="1" applyAlignment="1" applyProtection="1">
      <alignment horizontal="center" vertical="center"/>
    </xf>
    <xf numFmtId="0" fontId="7" fillId="11" borderId="1" xfId="0" applyFont="1" applyFill="1" applyBorder="1" applyAlignment="1" applyProtection="1">
      <alignment horizontal="center" vertical="center"/>
    </xf>
    <xf numFmtId="9" fontId="7" fillId="0" borderId="30" xfId="2" applyFont="1" applyBorder="1" applyAlignment="1" applyProtection="1">
      <alignment horizontal="center" vertical="center"/>
    </xf>
    <xf numFmtId="9" fontId="7" fillId="0" borderId="42" xfId="2" applyFont="1" applyBorder="1" applyAlignment="1" applyProtection="1">
      <alignment horizontal="center" vertical="center"/>
    </xf>
    <xf numFmtId="9" fontId="7" fillId="0" borderId="64" xfId="2" applyFont="1" applyBorder="1" applyAlignment="1" applyProtection="1">
      <alignment horizontal="center" vertical="center"/>
    </xf>
    <xf numFmtId="9" fontId="17" fillId="0" borderId="1" xfId="2" applyFont="1" applyFill="1" applyBorder="1" applyAlignment="1" applyProtection="1">
      <alignment horizontal="center" vertical="center"/>
    </xf>
    <xf numFmtId="2" fontId="7" fillId="10" borderId="30" xfId="0" applyNumberFormat="1"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2" fontId="7" fillId="0" borderId="42" xfId="0" applyNumberFormat="1" applyFont="1" applyBorder="1" applyAlignment="1" applyProtection="1">
      <alignment horizontal="center" vertical="center"/>
      <protection locked="0"/>
    </xf>
    <xf numFmtId="0" fontId="7" fillId="0" borderId="0" xfId="0" applyFont="1" applyFill="1" applyAlignment="1">
      <alignment horizontal="center" vertical="top" textRotation="90"/>
    </xf>
    <xf numFmtId="0" fontId="7" fillId="0" borderId="0" xfId="0" applyFont="1" applyAlignment="1">
      <alignment horizontal="center" vertical="top" textRotation="90"/>
    </xf>
    <xf numFmtId="1" fontId="7" fillId="0" borderId="42" xfId="0" applyNumberFormat="1" applyFont="1" applyBorder="1" applyAlignment="1" applyProtection="1">
      <alignment horizontal="center" vertical="center"/>
      <protection locked="0"/>
    </xf>
    <xf numFmtId="16" fontId="7" fillId="0" borderId="42" xfId="0" applyNumberFormat="1" applyFont="1" applyBorder="1" applyAlignment="1" applyProtection="1">
      <alignment horizontal="center" vertical="center"/>
      <protection locked="0"/>
    </xf>
    <xf numFmtId="1" fontId="7" fillId="0" borderId="42" xfId="0" applyNumberFormat="1"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64" xfId="0" applyFont="1" applyBorder="1" applyAlignment="1" applyProtection="1">
      <alignment horizontal="center" vertical="center"/>
    </xf>
    <xf numFmtId="2" fontId="7" fillId="0" borderId="42" xfId="0" applyNumberFormat="1" applyFont="1" applyBorder="1" applyAlignment="1" applyProtection="1">
      <alignment horizontal="center" vertical="center"/>
    </xf>
    <xf numFmtId="0" fontId="32" fillId="0" borderId="2" xfId="0" applyFont="1" applyBorder="1" applyAlignment="1" applyProtection="1">
      <alignment horizontal="center"/>
      <protection locked="0"/>
    </xf>
    <xf numFmtId="0" fontId="32" fillId="0" borderId="83" xfId="0" applyFont="1" applyBorder="1" applyAlignment="1" applyProtection="1">
      <alignment horizontal="center"/>
      <protection locked="0"/>
    </xf>
    <xf numFmtId="0" fontId="32" fillId="0" borderId="83" xfId="0" applyFont="1" applyBorder="1" applyAlignment="1" applyProtection="1">
      <alignment horizontal="center"/>
      <protection locked="0"/>
    </xf>
    <xf numFmtId="0" fontId="24" fillId="0" borderId="105" xfId="0" applyFont="1" applyBorder="1" applyAlignment="1">
      <alignment horizontal="left" wrapText="1"/>
    </xf>
    <xf numFmtId="0" fontId="24" fillId="0" borderId="106" xfId="0" applyFont="1" applyBorder="1" applyAlignment="1">
      <alignment horizontal="left" wrapText="1"/>
    </xf>
    <xf numFmtId="0" fontId="0" fillId="18" borderId="0" xfId="0" applyFill="1"/>
    <xf numFmtId="2" fontId="27" fillId="20" borderId="8" xfId="0" applyNumberFormat="1" applyFont="1" applyFill="1" applyBorder="1" applyAlignment="1">
      <alignment horizontal="center" vertical="center" wrapText="1"/>
    </xf>
    <xf numFmtId="2" fontId="27" fillId="20" borderId="8" xfId="0" applyNumberFormat="1" applyFont="1" applyFill="1" applyBorder="1" applyAlignment="1">
      <alignment horizontal="center" vertical="center"/>
    </xf>
    <xf numFmtId="2" fontId="29" fillId="20" borderId="1" xfId="0" applyNumberFormat="1" applyFont="1" applyFill="1" applyBorder="1" applyAlignment="1">
      <alignment horizontal="center" vertical="center"/>
    </xf>
    <xf numFmtId="2" fontId="29" fillId="20" borderId="1" xfId="0" applyNumberFormat="1" applyFont="1" applyFill="1" applyBorder="1" applyAlignment="1">
      <alignment horizontal="center" vertical="center" wrapText="1"/>
    </xf>
    <xf numFmtId="0" fontId="24" fillId="21" borderId="1" xfId="0" applyFont="1" applyFill="1" applyBorder="1"/>
    <xf numFmtId="3" fontId="24" fillId="21" borderId="1" xfId="0" applyNumberFormat="1" applyFont="1" applyFill="1" applyBorder="1" applyAlignment="1">
      <alignment horizontal="center" vertical="center"/>
    </xf>
    <xf numFmtId="9" fontId="24" fillId="21" borderId="1" xfId="2" applyFont="1" applyFill="1" applyBorder="1" applyAlignment="1">
      <alignment horizontal="center" vertical="center"/>
    </xf>
    <xf numFmtId="0" fontId="37" fillId="21" borderId="1" xfId="0" applyFont="1" applyFill="1" applyBorder="1" applyAlignment="1">
      <alignment horizontal="center" vertical="center" wrapText="1"/>
    </xf>
    <xf numFmtId="9" fontId="37" fillId="21" borderId="1" xfId="2" applyFont="1" applyFill="1" applyBorder="1" applyAlignment="1">
      <alignment horizontal="center" vertical="center" wrapText="1"/>
    </xf>
    <xf numFmtId="43" fontId="24" fillId="21" borderId="1" xfId="1" applyFont="1" applyFill="1" applyBorder="1" applyAlignment="1">
      <alignment horizontal="right" vertical="center"/>
    </xf>
    <xf numFmtId="9" fontId="37" fillId="21" borderId="2" xfId="2" applyFont="1" applyFill="1" applyBorder="1" applyAlignment="1">
      <alignment horizontal="center" vertical="center" wrapText="1"/>
    </xf>
    <xf numFmtId="43" fontId="37" fillId="21" borderId="1" xfId="1" applyFont="1" applyFill="1" applyBorder="1" applyAlignment="1">
      <alignment vertical="center" wrapText="1"/>
    </xf>
    <xf numFmtId="3" fontId="24" fillId="21" borderId="1" xfId="0" applyNumberFormat="1" applyFont="1" applyFill="1" applyBorder="1" applyAlignment="1">
      <alignment horizontal="right" vertical="center"/>
    </xf>
    <xf numFmtId="3" fontId="24" fillId="21" borderId="0" xfId="0" applyNumberFormat="1" applyFont="1" applyFill="1" applyAlignment="1">
      <alignment horizontal="center" vertical="center"/>
    </xf>
    <xf numFmtId="3" fontId="37" fillId="21" borderId="1" xfId="0" applyNumberFormat="1" applyFont="1" applyFill="1" applyBorder="1" applyAlignment="1">
      <alignment horizontal="right" vertical="center" wrapText="1"/>
    </xf>
    <xf numFmtId="3" fontId="24" fillId="21" borderId="2" xfId="0" applyNumberFormat="1" applyFont="1" applyFill="1" applyBorder="1" applyAlignment="1">
      <alignment horizontal="center" vertical="center"/>
    </xf>
    <xf numFmtId="43" fontId="37" fillId="21" borderId="2" xfId="1" applyFont="1" applyFill="1" applyBorder="1" applyAlignment="1">
      <alignment vertical="center" wrapText="1"/>
    </xf>
    <xf numFmtId="0" fontId="27" fillId="21" borderId="1" xfId="0" applyFont="1" applyFill="1" applyBorder="1"/>
    <xf numFmtId="3" fontId="27" fillId="21" borderId="1" xfId="0" applyNumberFormat="1" applyFont="1" applyFill="1" applyBorder="1" applyAlignment="1">
      <alignment horizontal="center" vertical="center"/>
    </xf>
    <xf numFmtId="43" fontId="27" fillId="21" borderId="1" xfId="1" applyFont="1" applyFill="1" applyBorder="1" applyAlignment="1">
      <alignment horizontal="right" vertical="center"/>
    </xf>
    <xf numFmtId="9" fontId="38" fillId="21" borderId="2" xfId="2" applyFont="1" applyFill="1" applyBorder="1" applyAlignment="1">
      <alignment horizontal="center" vertical="center" wrapText="1"/>
    </xf>
    <xf numFmtId="3" fontId="27" fillId="21" borderId="1" xfId="0" applyNumberFormat="1" applyFont="1" applyFill="1" applyBorder="1" applyAlignment="1">
      <alignment horizontal="right" vertical="center"/>
    </xf>
    <xf numFmtId="9" fontId="27" fillId="21" borderId="1" xfId="2" applyFont="1" applyFill="1" applyBorder="1" applyAlignment="1">
      <alignment horizontal="center" vertical="center"/>
    </xf>
    <xf numFmtId="0" fontId="24" fillId="21" borderId="1" xfId="0" applyFont="1" applyFill="1" applyBorder="1" applyAlignment="1">
      <alignment horizontal="center" vertical="center"/>
    </xf>
    <xf numFmtId="3" fontId="24" fillId="21" borderId="1" xfId="0" applyNumberFormat="1" applyFont="1" applyFill="1" applyBorder="1" applyAlignment="1">
      <alignment horizontal="right" vertical="center" wrapText="1"/>
    </xf>
    <xf numFmtId="3" fontId="37" fillId="21" borderId="2" xfId="0" applyNumberFormat="1" applyFont="1" applyFill="1" applyBorder="1" applyAlignment="1">
      <alignment horizontal="center" vertical="center" wrapText="1"/>
    </xf>
    <xf numFmtId="4" fontId="24" fillId="21" borderId="1" xfId="0" applyNumberFormat="1" applyFont="1" applyFill="1" applyBorder="1" applyAlignment="1">
      <alignment horizontal="right" vertical="center"/>
    </xf>
    <xf numFmtId="0" fontId="27" fillId="21" borderId="1" xfId="0" applyFont="1" applyFill="1" applyBorder="1" applyAlignment="1">
      <alignment horizontal="center" vertical="center"/>
    </xf>
    <xf numFmtId="9" fontId="38" fillId="21" borderId="1" xfId="2" applyFont="1" applyFill="1" applyBorder="1" applyAlignment="1">
      <alignment horizontal="center" vertical="center" wrapText="1"/>
    </xf>
    <xf numFmtId="0" fontId="24" fillId="21" borderId="11" xfId="0" applyFont="1" applyFill="1" applyBorder="1"/>
    <xf numFmtId="43" fontId="24" fillId="21" borderId="1" xfId="1" applyFont="1" applyFill="1" applyBorder="1" applyAlignment="1">
      <alignment vertical="center"/>
    </xf>
    <xf numFmtId="0" fontId="37" fillId="21" borderId="2" xfId="0" applyFont="1" applyFill="1" applyBorder="1" applyAlignment="1">
      <alignment horizontal="center" vertical="center" wrapText="1"/>
    </xf>
    <xf numFmtId="43" fontId="27" fillId="21" borderId="1" xfId="1" applyFont="1" applyFill="1" applyBorder="1" applyAlignment="1">
      <alignment vertical="center"/>
    </xf>
    <xf numFmtId="9" fontId="30" fillId="21" borderId="1" xfId="2" applyFont="1" applyFill="1" applyBorder="1" applyAlignment="1">
      <alignment horizontal="center" vertical="center"/>
    </xf>
    <xf numFmtId="0" fontId="42" fillId="18" borderId="0" xfId="0" applyFont="1" applyFill="1" applyAlignment="1"/>
    <xf numFmtId="0" fontId="1" fillId="18" borderId="0" xfId="0" applyFont="1" applyFill="1" applyAlignment="1"/>
    <xf numFmtId="0" fontId="42" fillId="18" borderId="0" xfId="0" applyFont="1" applyFill="1" applyAlignment="1">
      <alignment horizontal="left"/>
    </xf>
    <xf numFmtId="0" fontId="2" fillId="20" borderId="12" xfId="0" applyFont="1" applyFill="1" applyBorder="1" applyAlignment="1">
      <alignment horizontal="center" vertical="top" wrapText="1"/>
    </xf>
    <xf numFmtId="0" fontId="2" fillId="20" borderId="12" xfId="0" applyFont="1" applyFill="1" applyBorder="1" applyAlignment="1">
      <alignment vertical="top" wrapText="1"/>
    </xf>
    <xf numFmtId="0" fontId="2" fillId="20" borderId="1" xfId="0" applyFont="1" applyFill="1" applyBorder="1" applyAlignment="1">
      <alignment vertical="top" wrapText="1"/>
    </xf>
    <xf numFmtId="0" fontId="3" fillId="21" borderId="1" xfId="0" applyFont="1" applyFill="1" applyBorder="1" applyAlignment="1"/>
    <xf numFmtId="3" fontId="2" fillId="21" borderId="1" xfId="0" quotePrefix="1" applyNumberFormat="1" applyFont="1" applyFill="1" applyBorder="1" applyAlignment="1">
      <alignment horizontal="center" vertical="center"/>
    </xf>
    <xf numFmtId="3" fontId="3" fillId="21" borderId="1" xfId="0" applyNumberFormat="1" applyFont="1" applyFill="1" applyBorder="1" applyAlignment="1">
      <alignment horizontal="center" vertical="center"/>
    </xf>
    <xf numFmtId="0" fontId="2" fillId="21" borderId="1" xfId="0" applyFont="1" applyFill="1" applyBorder="1" applyAlignment="1"/>
    <xf numFmtId="3" fontId="2" fillId="21" borderId="1" xfId="0" applyNumberFormat="1" applyFont="1" applyFill="1" applyBorder="1" applyAlignment="1">
      <alignment horizontal="center" vertical="center"/>
    </xf>
    <xf numFmtId="0" fontId="1" fillId="21" borderId="1" xfId="0" applyFont="1" applyFill="1" applyBorder="1" applyAlignment="1"/>
    <xf numFmtId="9" fontId="1" fillId="21" borderId="1" xfId="2" applyFont="1" applyFill="1" applyBorder="1" applyAlignment="1">
      <alignment horizontal="center" vertical="center"/>
    </xf>
    <xf numFmtId="0" fontId="43" fillId="20" borderId="1" xfId="0" applyFont="1" applyFill="1" applyBorder="1" applyAlignment="1">
      <alignment vertical="top" wrapText="1"/>
    </xf>
    <xf numFmtId="0" fontId="27" fillId="20" borderId="12" xfId="0" applyFont="1" applyFill="1" applyBorder="1" applyAlignment="1">
      <alignment vertical="top"/>
    </xf>
    <xf numFmtId="0" fontId="27" fillId="20" borderId="12" xfId="0" applyFont="1" applyFill="1" applyBorder="1" applyAlignment="1">
      <alignment horizontal="center" vertical="top" wrapText="1"/>
    </xf>
    <xf numFmtId="0" fontId="27" fillId="20" borderId="12" xfId="0" applyFont="1" applyFill="1" applyBorder="1" applyAlignment="1">
      <alignment vertical="top" wrapText="1"/>
    </xf>
    <xf numFmtId="0" fontId="27" fillId="20" borderId="1" xfId="0" applyFont="1" applyFill="1" applyBorder="1" applyAlignment="1">
      <alignment vertical="top" wrapText="1"/>
    </xf>
    <xf numFmtId="0" fontId="44" fillId="21" borderId="2" xfId="0" applyFont="1" applyFill="1" applyBorder="1" applyAlignment="1">
      <alignment horizontal="center"/>
    </xf>
    <xf numFmtId="0" fontId="24" fillId="21" borderId="105" xfId="0" applyFont="1" applyFill="1" applyBorder="1" applyAlignment="1">
      <alignment horizontal="left" wrapText="1"/>
    </xf>
    <xf numFmtId="0" fontId="24" fillId="21" borderId="105" xfId="0" applyFont="1" applyFill="1" applyBorder="1" applyAlignment="1">
      <alignment horizontal="center" wrapText="1"/>
    </xf>
    <xf numFmtId="3" fontId="24" fillId="21" borderId="1" xfId="0" applyNumberFormat="1" applyFont="1" applyFill="1" applyBorder="1" applyAlignment="1">
      <alignment horizontal="center"/>
    </xf>
    <xf numFmtId="0" fontId="24" fillId="21" borderId="106" xfId="0" applyFont="1" applyFill="1" applyBorder="1" applyAlignment="1">
      <alignment horizontal="left" wrapText="1"/>
    </xf>
    <xf numFmtId="0" fontId="24" fillId="21" borderId="106" xfId="0" applyFont="1" applyFill="1" applyBorder="1" applyAlignment="1">
      <alignment horizontal="center" wrapText="1"/>
    </xf>
    <xf numFmtId="0" fontId="24" fillId="21" borderId="107" xfId="0" applyFont="1" applyFill="1" applyBorder="1" applyAlignment="1">
      <alignment horizontal="center" wrapText="1"/>
    </xf>
    <xf numFmtId="0" fontId="44" fillId="21" borderId="1" xfId="0" applyFont="1" applyFill="1" applyBorder="1"/>
    <xf numFmtId="0" fontId="27" fillId="21" borderId="104" xfId="0" applyFont="1" applyFill="1" applyBorder="1"/>
    <xf numFmtId="0" fontId="38" fillId="21" borderId="8" xfId="0" applyFont="1" applyFill="1" applyBorder="1" applyAlignment="1">
      <alignment horizontal="center" vertical="top" wrapText="1"/>
    </xf>
    <xf numFmtId="4" fontId="38" fillId="21" borderId="8" xfId="0" applyNumberFormat="1" applyFont="1" applyFill="1" applyBorder="1" applyAlignment="1">
      <alignment horizontal="center" vertical="top" wrapText="1"/>
    </xf>
    <xf numFmtId="3" fontId="38" fillId="21" borderId="8" xfId="0" applyNumberFormat="1" applyFont="1" applyFill="1" applyBorder="1" applyAlignment="1">
      <alignment horizontal="center" vertical="top" wrapText="1"/>
    </xf>
    <xf numFmtId="0" fontId="42" fillId="19" borderId="0" xfId="0" applyFont="1" applyFill="1" applyBorder="1" applyAlignment="1">
      <alignment horizontal="left"/>
    </xf>
    <xf numFmtId="0" fontId="0" fillId="19" borderId="0" xfId="0" applyFill="1"/>
    <xf numFmtId="0" fontId="1" fillId="19" borderId="0" xfId="0" applyFont="1" applyFill="1"/>
    <xf numFmtId="0" fontId="46" fillId="19" borderId="0" xfId="0" applyFont="1" applyFill="1" applyBorder="1" applyAlignment="1">
      <alignment horizontal="left"/>
    </xf>
    <xf numFmtId="0" fontId="31" fillId="20" borderId="1" xfId="0" applyFont="1" applyFill="1" applyBorder="1" applyAlignment="1">
      <alignment horizontal="center" vertical="center" wrapText="1"/>
    </xf>
    <xf numFmtId="17" fontId="27" fillId="20" borderId="1" xfId="0" applyNumberFormat="1" applyFont="1" applyFill="1" applyBorder="1" applyAlignment="1">
      <alignment vertical="center" textRotation="90" wrapText="1"/>
    </xf>
    <xf numFmtId="0" fontId="2" fillId="20" borderId="1" xfId="0" applyFont="1" applyFill="1" applyBorder="1" applyAlignment="1">
      <alignment horizontal="center" vertical="top" textRotation="90" wrapText="1"/>
    </xf>
    <xf numFmtId="0" fontId="4" fillId="21" borderId="1" xfId="0" applyFont="1" applyFill="1" applyBorder="1" applyAlignment="1">
      <alignment vertical="top" wrapText="1"/>
    </xf>
    <xf numFmtId="0" fontId="20" fillId="21" borderId="1" xfId="0" applyFont="1" applyFill="1" applyBorder="1"/>
    <xf numFmtId="0" fontId="20" fillId="21" borderId="1" xfId="0" applyFont="1" applyFill="1" applyBorder="1" applyAlignment="1">
      <alignment vertical="top" wrapText="1"/>
    </xf>
    <xf numFmtId="0" fontId="3" fillId="21" borderId="1" xfId="0" applyFont="1" applyFill="1" applyBorder="1"/>
    <xf numFmtId="0" fontId="2" fillId="21" borderId="1" xfId="0" applyFont="1" applyFill="1" applyBorder="1" applyAlignment="1">
      <alignment vertical="top" wrapText="1"/>
    </xf>
    <xf numFmtId="0" fontId="3" fillId="21" borderId="1" xfId="0" applyFont="1" applyFill="1" applyBorder="1" applyAlignment="1">
      <alignment vertical="top" wrapText="1"/>
    </xf>
    <xf numFmtId="0" fontId="3" fillId="21" borderId="2" xfId="0" applyFont="1" applyFill="1" applyBorder="1" applyAlignment="1">
      <alignment vertical="top"/>
    </xf>
    <xf numFmtId="0" fontId="3" fillId="21" borderId="1" xfId="0" applyFont="1" applyFill="1" applyBorder="1" applyAlignment="1">
      <alignment vertical="top"/>
    </xf>
    <xf numFmtId="0" fontId="3" fillId="19" borderId="0" xfId="0" applyFont="1" applyFill="1" applyBorder="1" applyAlignment="1" applyProtection="1">
      <alignment vertical="top"/>
      <protection locked="0"/>
    </xf>
    <xf numFmtId="0" fontId="7" fillId="0" borderId="15" xfId="0" applyFont="1" applyBorder="1"/>
    <xf numFmtId="0" fontId="7" fillId="0" borderId="72" xfId="0" applyFont="1" applyBorder="1" applyAlignment="1">
      <alignment horizontal="center" vertical="center"/>
    </xf>
    <xf numFmtId="0" fontId="20" fillId="21" borderId="89" xfId="0" applyFont="1" applyFill="1" applyBorder="1" applyAlignment="1" applyProtection="1">
      <alignment vertical="top" wrapText="1"/>
    </xf>
    <xf numFmtId="3" fontId="20" fillId="21" borderId="89" xfId="0" applyNumberFormat="1" applyFont="1" applyFill="1" applyBorder="1" applyAlignment="1" applyProtection="1">
      <alignment vertical="top" wrapText="1"/>
    </xf>
    <xf numFmtId="9" fontId="20" fillId="21" borderId="89" xfId="2" applyFont="1" applyFill="1" applyBorder="1" applyAlignment="1" applyProtection="1">
      <alignment vertical="top" wrapText="1"/>
    </xf>
    <xf numFmtId="1" fontId="3" fillId="21" borderId="76" xfId="2" applyNumberFormat="1" applyFont="1" applyFill="1" applyBorder="1" applyAlignment="1" applyProtection="1">
      <alignment vertical="top" wrapText="1"/>
    </xf>
    <xf numFmtId="9" fontId="3" fillId="21" borderId="76" xfId="2" applyFont="1" applyFill="1" applyBorder="1" applyAlignment="1" applyProtection="1">
      <alignment vertical="top" wrapText="1"/>
    </xf>
    <xf numFmtId="43" fontId="3" fillId="21" borderId="76" xfId="0" applyNumberFormat="1" applyFont="1" applyFill="1" applyBorder="1" applyAlignment="1" applyProtection="1">
      <alignment vertical="top" wrapText="1"/>
    </xf>
    <xf numFmtId="0" fontId="20" fillId="21" borderId="0" xfId="0" applyFont="1" applyFill="1" applyBorder="1" applyAlignment="1" applyProtection="1">
      <alignment vertical="top" wrapText="1"/>
      <protection locked="0"/>
    </xf>
    <xf numFmtId="9" fontId="3" fillId="21" borderId="0" xfId="0" applyNumberFormat="1" applyFont="1" applyFill="1" applyBorder="1" applyAlignment="1" applyProtection="1">
      <alignment vertical="top" wrapText="1"/>
      <protection locked="0"/>
    </xf>
    <xf numFmtId="0" fontId="3" fillId="21" borderId="76" xfId="0" applyFont="1" applyFill="1" applyBorder="1" applyAlignment="1">
      <alignment vertical="top" wrapText="1"/>
    </xf>
    <xf numFmtId="1" fontId="3" fillId="21" borderId="90" xfId="0" applyNumberFormat="1" applyFont="1" applyFill="1" applyBorder="1" applyAlignment="1">
      <alignment vertical="top" wrapText="1"/>
    </xf>
    <xf numFmtId="0" fontId="20" fillId="21" borderId="89" xfId="0" applyFont="1" applyFill="1" applyBorder="1" applyAlignment="1">
      <alignment horizontal="left" vertical="top" wrapText="1" indent="1"/>
    </xf>
    <xf numFmtId="9" fontId="3" fillId="21" borderId="90" xfId="0" applyNumberFormat="1" applyFont="1" applyFill="1" applyBorder="1" applyAlignment="1">
      <alignment vertical="top" wrapText="1"/>
    </xf>
    <xf numFmtId="0" fontId="20" fillId="21" borderId="89" xfId="0" applyFont="1" applyFill="1" applyBorder="1" applyAlignment="1">
      <alignment vertical="top" wrapText="1"/>
    </xf>
    <xf numFmtId="0" fontId="3" fillId="21" borderId="90" xfId="0" applyFont="1" applyFill="1" applyBorder="1" applyAlignment="1">
      <alignment vertical="top" wrapText="1"/>
    </xf>
    <xf numFmtId="0" fontId="40" fillId="21" borderId="0" xfId="0" applyFont="1" applyFill="1" applyBorder="1" applyAlignment="1">
      <alignment vertical="top"/>
    </xf>
    <xf numFmtId="0" fontId="3" fillId="21" borderId="0" xfId="0" applyFont="1" applyFill="1" applyBorder="1" applyAlignment="1" applyProtection="1">
      <alignment vertical="top" wrapText="1"/>
      <protection locked="0"/>
    </xf>
    <xf numFmtId="0" fontId="3" fillId="21" borderId="0" xfId="0" applyFont="1" applyFill="1" applyAlignment="1">
      <alignment vertical="top"/>
    </xf>
    <xf numFmtId="0" fontId="3" fillId="21" borderId="0" xfId="0" applyFont="1" applyFill="1" applyBorder="1" applyAlignment="1">
      <alignment vertical="top"/>
    </xf>
    <xf numFmtId="0" fontId="3" fillId="21" borderId="0" xfId="0" applyFont="1" applyFill="1" applyBorder="1" applyAlignment="1">
      <alignment horizontal="right" vertical="top"/>
    </xf>
    <xf numFmtId="0" fontId="2" fillId="21" borderId="66" xfId="0" applyFont="1" applyFill="1" applyBorder="1" applyAlignment="1">
      <alignment vertical="top"/>
    </xf>
    <xf numFmtId="0" fontId="3" fillId="21" borderId="66" xfId="0" applyFont="1" applyFill="1" applyBorder="1" applyAlignment="1">
      <alignment vertical="top"/>
    </xf>
    <xf numFmtId="0" fontId="20" fillId="21" borderId="0" xfId="0" applyFont="1" applyFill="1" applyBorder="1" applyAlignment="1">
      <alignment vertical="top"/>
    </xf>
    <xf numFmtId="0" fontId="6" fillId="21" borderId="0" xfId="0" applyFont="1" applyFill="1" applyBorder="1" applyAlignment="1" applyProtection="1">
      <alignment vertical="top"/>
      <protection locked="0"/>
    </xf>
    <xf numFmtId="0" fontId="21" fillId="21" borderId="0" xfId="0" applyFont="1" applyFill="1" applyBorder="1" applyAlignment="1" applyProtection="1">
      <alignment vertical="top" wrapText="1"/>
      <protection locked="0"/>
    </xf>
    <xf numFmtId="0" fontId="2" fillId="21" borderId="0" xfId="0" applyFont="1" applyFill="1" applyBorder="1" applyAlignment="1" applyProtection="1">
      <alignment vertical="top"/>
      <protection locked="0"/>
    </xf>
    <xf numFmtId="0" fontId="3" fillId="21" borderId="0" xfId="0" applyFont="1" applyFill="1" applyBorder="1" applyAlignment="1" applyProtection="1">
      <alignment vertical="top"/>
      <protection locked="0"/>
    </xf>
    <xf numFmtId="0" fontId="2" fillId="21" borderId="0" xfId="0" applyFont="1" applyFill="1" applyBorder="1" applyAlignment="1">
      <alignment vertical="top"/>
    </xf>
    <xf numFmtId="0" fontId="6" fillId="21" borderId="0" xfId="0" applyFont="1" applyFill="1" applyBorder="1" applyAlignment="1">
      <alignment vertical="top"/>
    </xf>
    <xf numFmtId="0" fontId="4" fillId="21" borderId="91" xfId="0" applyFont="1" applyFill="1" applyBorder="1" applyAlignment="1">
      <alignment vertical="top" wrapText="1"/>
    </xf>
    <xf numFmtId="9" fontId="4" fillId="21" borderId="92" xfId="2" applyFont="1" applyFill="1" applyBorder="1" applyAlignment="1">
      <alignment horizontal="center" vertical="top" wrapText="1"/>
    </xf>
    <xf numFmtId="0" fontId="20" fillId="21" borderId="6" xfId="0" applyFont="1" applyFill="1" applyBorder="1" applyAlignment="1">
      <alignment vertical="top" wrapText="1"/>
    </xf>
    <xf numFmtId="0" fontId="20" fillId="21" borderId="91" xfId="0" applyFont="1" applyFill="1" applyBorder="1" applyAlignment="1">
      <alignment vertical="top" wrapText="1"/>
    </xf>
    <xf numFmtId="9" fontId="3" fillId="21" borderId="0" xfId="0" applyNumberFormat="1" applyFont="1" applyFill="1" applyBorder="1" applyAlignment="1">
      <alignment vertical="top"/>
    </xf>
    <xf numFmtId="9" fontId="20" fillId="21" borderId="6" xfId="0" applyNumberFormat="1" applyFont="1" applyFill="1" applyBorder="1" applyAlignment="1">
      <alignment vertical="top" wrapText="1"/>
    </xf>
    <xf numFmtId="0" fontId="4" fillId="21" borderId="78" xfId="0" applyFont="1" applyFill="1" applyBorder="1" applyAlignment="1">
      <alignment vertical="top" wrapText="1"/>
    </xf>
    <xf numFmtId="9" fontId="20" fillId="21" borderId="92" xfId="2" applyFont="1" applyFill="1" applyBorder="1" applyAlignment="1">
      <alignment vertical="top" wrapText="1"/>
    </xf>
    <xf numFmtId="0" fontId="20" fillId="21" borderId="93" xfId="0" applyFont="1" applyFill="1" applyBorder="1" applyAlignment="1">
      <alignment vertical="top" wrapText="1"/>
    </xf>
    <xf numFmtId="1" fontId="20" fillId="21" borderId="92" xfId="2" applyNumberFormat="1" applyFont="1" applyFill="1" applyBorder="1" applyAlignment="1">
      <alignment vertical="top" wrapText="1"/>
    </xf>
    <xf numFmtId="9" fontId="20" fillId="21" borderId="94" xfId="2" applyFont="1" applyFill="1" applyBorder="1" applyAlignment="1">
      <alignment vertical="top" wrapText="1"/>
    </xf>
    <xf numFmtId="0" fontId="4" fillId="21" borderId="6" xfId="0" applyFont="1" applyFill="1" applyBorder="1" applyAlignment="1">
      <alignment vertical="top" wrapText="1"/>
    </xf>
    <xf numFmtId="1" fontId="20" fillId="21" borderId="94" xfId="2" applyNumberFormat="1" applyFont="1" applyFill="1" applyBorder="1" applyAlignment="1">
      <alignment vertical="top" wrapText="1"/>
    </xf>
    <xf numFmtId="0" fontId="24" fillId="21" borderId="0" xfId="0" applyFont="1" applyFill="1" applyBorder="1" applyAlignment="1">
      <alignment vertical="top"/>
    </xf>
    <xf numFmtId="9" fontId="4" fillId="21" borderId="92" xfId="2" applyFont="1" applyFill="1" applyBorder="1" applyAlignment="1">
      <alignment vertical="top" wrapText="1"/>
    </xf>
    <xf numFmtId="9" fontId="20" fillId="21" borderId="7" xfId="2" applyFont="1" applyFill="1" applyBorder="1" applyAlignment="1">
      <alignment vertical="top" wrapText="1"/>
    </xf>
    <xf numFmtId="9" fontId="20" fillId="21" borderId="76" xfId="2" applyFont="1" applyFill="1" applyBorder="1" applyAlignment="1">
      <alignment vertical="top" wrapText="1"/>
    </xf>
    <xf numFmtId="0" fontId="4" fillId="21" borderId="89" xfId="0" applyFont="1" applyFill="1" applyBorder="1" applyAlignment="1">
      <alignment vertical="top" wrapText="1"/>
    </xf>
    <xf numFmtId="9" fontId="20" fillId="21" borderId="90" xfId="0" applyNumberFormat="1" applyFont="1" applyFill="1" applyBorder="1" applyAlignment="1">
      <alignment vertical="top" wrapText="1"/>
    </xf>
    <xf numFmtId="9" fontId="20" fillId="21" borderId="0" xfId="2" applyFont="1" applyFill="1" applyBorder="1" applyAlignment="1" applyProtection="1">
      <alignment vertical="top" wrapText="1"/>
      <protection locked="0"/>
    </xf>
    <xf numFmtId="9" fontId="3" fillId="21" borderId="0" xfId="2" applyFont="1" applyFill="1" applyBorder="1" applyAlignment="1">
      <alignment vertical="top"/>
    </xf>
    <xf numFmtId="9" fontId="20" fillId="21" borderId="78" xfId="0" applyNumberFormat="1" applyFont="1" applyFill="1" applyBorder="1" applyAlignment="1">
      <alignment vertical="top" wrapText="1"/>
    </xf>
    <xf numFmtId="0" fontId="22" fillId="21" borderId="91" xfId="0" applyFont="1" applyFill="1" applyBorder="1" applyAlignment="1">
      <alignment vertical="top" wrapText="1"/>
    </xf>
    <xf numFmtId="0" fontId="20" fillId="21" borderId="0" xfId="0" applyFont="1" applyFill="1" applyBorder="1" applyAlignment="1">
      <alignment vertical="top" wrapText="1"/>
    </xf>
    <xf numFmtId="0" fontId="6" fillId="21" borderId="82" xfId="0" applyFont="1" applyFill="1" applyBorder="1" applyAlignment="1" applyProtection="1">
      <alignment vertical="top"/>
      <protection locked="0"/>
    </xf>
    <xf numFmtId="0" fontId="3" fillId="21" borderId="82" xfId="0" applyFont="1" applyFill="1" applyBorder="1" applyAlignment="1" applyProtection="1">
      <alignment vertical="top"/>
      <protection locked="0"/>
    </xf>
    <xf numFmtId="0" fontId="2" fillId="18" borderId="1" xfId="0" applyFont="1" applyFill="1" applyBorder="1" applyAlignment="1">
      <alignment vertical="top"/>
    </xf>
    <xf numFmtId="0" fontId="33" fillId="18" borderId="2" xfId="0" applyFont="1" applyFill="1" applyBorder="1" applyAlignment="1">
      <alignment horizontal="center" vertical="top" wrapText="1"/>
    </xf>
    <xf numFmtId="0" fontId="33" fillId="18" borderId="39" xfId="0" applyFont="1" applyFill="1" applyBorder="1" applyAlignment="1">
      <alignment vertical="top" wrapText="1"/>
    </xf>
    <xf numFmtId="0" fontId="2" fillId="21" borderId="1" xfId="0" applyFont="1" applyFill="1" applyBorder="1" applyAlignment="1">
      <alignment horizontal="center" vertical="top"/>
    </xf>
    <xf numFmtId="0" fontId="3" fillId="21" borderId="1" xfId="0" applyFont="1" applyFill="1" applyBorder="1" applyAlignment="1">
      <alignment wrapText="1"/>
    </xf>
    <xf numFmtId="9" fontId="3" fillId="21" borderId="1" xfId="2" applyFont="1" applyFill="1" applyBorder="1" applyAlignment="1">
      <alignment horizontal="center" vertical="center" wrapText="1"/>
    </xf>
    <xf numFmtId="0" fontId="3" fillId="21" borderId="1" xfId="0" applyFont="1" applyFill="1" applyBorder="1" applyAlignment="1">
      <alignment vertical="center" wrapText="1"/>
    </xf>
    <xf numFmtId="0" fontId="7" fillId="0" borderId="2" xfId="0" applyFont="1" applyBorder="1" applyAlignment="1" applyProtection="1">
      <alignment horizontal="center" vertical="center"/>
      <protection locked="0"/>
    </xf>
    <xf numFmtId="0" fontId="7" fillId="0" borderId="108" xfId="0" applyFont="1" applyFill="1" applyBorder="1" applyAlignment="1" applyProtection="1">
      <alignment horizontal="center" vertical="center"/>
      <protection locked="0"/>
    </xf>
    <xf numFmtId="0" fontId="7" fillId="0" borderId="109" xfId="0" applyFont="1" applyBorder="1" applyAlignment="1" applyProtection="1">
      <alignment horizontal="center" vertical="center"/>
      <protection locked="0"/>
    </xf>
    <xf numFmtId="1" fontId="7" fillId="11" borderId="12" xfId="0" applyNumberFormat="1" applyFont="1" applyFill="1" applyBorder="1" applyAlignment="1" applyProtection="1">
      <alignment horizontal="center" vertical="center"/>
    </xf>
    <xf numFmtId="9" fontId="7" fillId="11" borderId="12" xfId="2" applyFont="1" applyFill="1" applyBorder="1" applyAlignment="1" applyProtection="1">
      <alignment horizontal="center" vertical="center"/>
    </xf>
    <xf numFmtId="1" fontId="7" fillId="11" borderId="61" xfId="0" applyNumberFormat="1" applyFont="1" applyFill="1" applyBorder="1" applyAlignment="1" applyProtection="1">
      <alignment horizontal="center" vertical="center"/>
    </xf>
    <xf numFmtId="9" fontId="7" fillId="0" borderId="12" xfId="2" applyFont="1" applyBorder="1" applyAlignment="1" applyProtection="1">
      <alignment horizontal="center" vertical="center"/>
      <protection locked="0"/>
    </xf>
    <xf numFmtId="0" fontId="17" fillId="0" borderId="96" xfId="0" applyFont="1" applyBorder="1" applyAlignment="1" applyProtection="1">
      <alignment horizontal="center" vertical="center"/>
      <protection locked="0"/>
    </xf>
    <xf numFmtId="0" fontId="17" fillId="0" borderId="15" xfId="0" applyFont="1" applyBorder="1"/>
    <xf numFmtId="0" fontId="7" fillId="11" borderId="96" xfId="0" applyFont="1" applyFill="1" applyBorder="1" applyAlignment="1" applyProtection="1">
      <alignment horizontal="center" vertical="center"/>
    </xf>
    <xf numFmtId="9" fontId="7" fillId="11" borderId="96" xfId="2" applyFont="1" applyFill="1" applyBorder="1" applyAlignment="1" applyProtection="1">
      <alignment horizontal="center" vertical="center"/>
    </xf>
    <xf numFmtId="0" fontId="7" fillId="10" borderId="11" xfId="0" applyFont="1" applyFill="1" applyBorder="1" applyAlignment="1" applyProtection="1">
      <alignment horizontal="center" vertical="center"/>
    </xf>
    <xf numFmtId="0" fontId="7" fillId="0" borderId="11" xfId="0" applyFont="1" applyBorder="1" applyAlignment="1" applyProtection="1">
      <alignment horizontal="center" vertical="center"/>
      <protection locked="0"/>
    </xf>
    <xf numFmtId="0" fontId="7" fillId="10" borderId="12" xfId="0" applyFont="1" applyFill="1" applyBorder="1" applyAlignment="1" applyProtection="1">
      <alignment horizontal="center" vertical="center"/>
    </xf>
    <xf numFmtId="0" fontId="7" fillId="0" borderId="110"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9" fontId="15" fillId="0" borderId="18" xfId="2" applyFont="1" applyBorder="1" applyAlignment="1" applyProtection="1">
      <alignment horizontal="center" vertical="center"/>
    </xf>
    <xf numFmtId="9" fontId="7" fillId="11" borderId="18" xfId="2" applyFont="1" applyFill="1" applyBorder="1" applyAlignment="1" applyProtection="1">
      <alignment horizontal="center" vertical="center"/>
    </xf>
    <xf numFmtId="1" fontId="7" fillId="0" borderId="18" xfId="2" applyNumberFormat="1" applyFont="1" applyBorder="1" applyAlignment="1" applyProtection="1">
      <alignment horizontal="center" vertical="center"/>
      <protection locked="0"/>
    </xf>
    <xf numFmtId="9" fontId="7" fillId="11" borderId="19" xfId="2" applyFont="1" applyFill="1" applyBorder="1" applyAlignment="1" applyProtection="1">
      <alignment horizontal="center" vertical="center"/>
    </xf>
    <xf numFmtId="0" fontId="7" fillId="0" borderId="8"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9" fontId="15" fillId="0" borderId="1" xfId="2" applyFont="1" applyBorder="1" applyAlignment="1" applyProtection="1">
      <alignment horizontal="center" vertical="center"/>
    </xf>
    <xf numFmtId="1" fontId="7" fillId="0" borderId="1" xfId="2" applyNumberFormat="1" applyFont="1" applyBorder="1" applyAlignment="1" applyProtection="1">
      <alignment horizontal="center" vertical="center"/>
      <protection locked="0"/>
    </xf>
    <xf numFmtId="0" fontId="7" fillId="10" borderId="18" xfId="0" applyFont="1" applyFill="1" applyBorder="1" applyAlignment="1" applyProtection="1">
      <alignment horizontal="center" vertical="center"/>
    </xf>
    <xf numFmtId="0" fontId="15" fillId="0" borderId="8" xfId="0" applyFont="1" applyBorder="1" applyAlignment="1" applyProtection="1">
      <alignment horizontal="center" vertical="center"/>
      <protection locked="0"/>
    </xf>
    <xf numFmtId="9" fontId="15" fillId="0" borderId="8" xfId="2" applyFont="1" applyBorder="1" applyAlignment="1" applyProtection="1">
      <alignment horizontal="center" vertical="center"/>
    </xf>
    <xf numFmtId="1" fontId="7" fillId="0" borderId="8" xfId="0" applyNumberFormat="1" applyFont="1" applyBorder="1" applyAlignment="1" applyProtection="1">
      <alignment horizontal="center" vertical="center"/>
      <protection locked="0"/>
    </xf>
    <xf numFmtId="9" fontId="7" fillId="11" borderId="8" xfId="2" applyFont="1" applyFill="1" applyBorder="1" applyAlignment="1" applyProtection="1">
      <alignment horizontal="center" vertical="center"/>
    </xf>
    <xf numFmtId="1" fontId="7" fillId="0" borderId="8" xfId="2" applyNumberFormat="1"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9" fontId="15" fillId="0" borderId="11" xfId="2" applyFont="1" applyBorder="1" applyAlignment="1" applyProtection="1">
      <alignment horizontal="center" vertical="center"/>
    </xf>
    <xf numFmtId="1" fontId="7" fillId="0" borderId="11" xfId="0" applyNumberFormat="1" applyFont="1" applyBorder="1" applyAlignment="1" applyProtection="1">
      <alignment horizontal="center" vertical="center"/>
      <protection locked="0"/>
    </xf>
    <xf numFmtId="9" fontId="7" fillId="11" borderId="11" xfId="2" applyFont="1" applyFill="1" applyBorder="1" applyAlignment="1" applyProtection="1">
      <alignment horizontal="center" vertical="center"/>
    </xf>
    <xf numFmtId="1" fontId="7" fillId="0" borderId="11" xfId="2" applyNumberFormat="1" applyFont="1" applyBorder="1" applyAlignment="1" applyProtection="1">
      <alignment horizontal="center" vertical="center"/>
      <protection locked="0"/>
    </xf>
    <xf numFmtId="9" fontId="7" fillId="11" borderId="49" xfId="2" applyFont="1" applyFill="1" applyBorder="1" applyAlignment="1" applyProtection="1">
      <alignment horizontal="center" vertical="center"/>
    </xf>
    <xf numFmtId="1" fontId="7" fillId="0" borderId="1" xfId="0" applyNumberFormat="1" applyFont="1" applyBorder="1" applyAlignment="1" applyProtection="1">
      <alignment horizontal="center" vertical="center"/>
      <protection locked="0"/>
    </xf>
    <xf numFmtId="9" fontId="7" fillId="11" borderId="40" xfId="2" applyFont="1" applyFill="1" applyBorder="1" applyAlignment="1" applyProtection="1">
      <alignment horizontal="center" vertical="center"/>
    </xf>
    <xf numFmtId="9" fontId="15" fillId="0" borderId="1" xfId="2" applyFont="1" applyBorder="1" applyAlignment="1" applyProtection="1">
      <alignment horizontal="center" vertical="center"/>
      <protection locked="0"/>
    </xf>
    <xf numFmtId="0" fontId="7" fillId="0" borderId="111" xfId="0" applyFont="1" applyBorder="1" applyAlignment="1" applyProtection="1">
      <alignment horizontal="center" vertical="center"/>
      <protection locked="0"/>
    </xf>
    <xf numFmtId="1" fontId="7" fillId="0" borderId="111" xfId="0" applyNumberFormat="1" applyFont="1" applyBorder="1" applyAlignment="1" applyProtection="1">
      <alignment horizontal="center" vertical="center"/>
      <protection locked="0"/>
    </xf>
    <xf numFmtId="9" fontId="7" fillId="11" borderId="111" xfId="2" applyFont="1" applyFill="1" applyBorder="1" applyAlignment="1" applyProtection="1">
      <alignment horizontal="center" vertical="center"/>
      <protection locked="0"/>
    </xf>
    <xf numFmtId="9" fontId="7" fillId="11" borderId="111" xfId="2" applyFont="1" applyFill="1" applyBorder="1" applyAlignment="1" applyProtection="1">
      <alignment horizontal="center" vertical="center"/>
    </xf>
    <xf numFmtId="1" fontId="7" fillId="0" borderId="111" xfId="2" applyNumberFormat="1" applyFont="1" applyBorder="1" applyAlignment="1" applyProtection="1">
      <alignment horizontal="center" vertical="center"/>
      <protection locked="0"/>
    </xf>
    <xf numFmtId="9" fontId="7" fillId="11" borderId="112" xfId="2" applyFont="1" applyFill="1" applyBorder="1" applyAlignment="1" applyProtection="1">
      <alignment horizontal="center" vertical="center"/>
    </xf>
    <xf numFmtId="9" fontId="7" fillId="0" borderId="15" xfId="2" applyFont="1" applyBorder="1" applyAlignment="1">
      <alignment horizontal="center" vertical="center"/>
    </xf>
    <xf numFmtId="0" fontId="15" fillId="0" borderId="15" xfId="0" applyFont="1" applyBorder="1"/>
    <xf numFmtId="9" fontId="15" fillId="0" borderId="11" xfId="2" applyFont="1" applyBorder="1" applyAlignment="1" applyProtection="1">
      <alignment horizontal="center" vertical="center"/>
      <protection locked="0"/>
    </xf>
    <xf numFmtId="0" fontId="7" fillId="0" borderId="15" xfId="0" applyFont="1" applyFill="1" applyBorder="1"/>
    <xf numFmtId="0" fontId="7" fillId="0" borderId="51" xfId="0" applyFont="1" applyBorder="1" applyAlignment="1" applyProtection="1">
      <alignment horizontal="center" vertical="center"/>
      <protection locked="0"/>
    </xf>
    <xf numFmtId="0" fontId="7" fillId="0" borderId="113" xfId="0" applyFont="1" applyBorder="1" applyAlignment="1" applyProtection="1">
      <alignment horizontal="center" vertical="center"/>
      <protection locked="0"/>
    </xf>
    <xf numFmtId="0" fontId="7" fillId="0" borderId="114" xfId="0" applyFont="1" applyBorder="1" applyAlignment="1" applyProtection="1">
      <alignment horizontal="center" vertical="center"/>
      <protection locked="0"/>
    </xf>
    <xf numFmtId="14" fontId="7" fillId="0" borderId="115" xfId="0" applyNumberFormat="1" applyFont="1" applyBorder="1" applyAlignment="1" applyProtection="1">
      <alignment horizontal="center" vertical="center"/>
      <protection locked="0"/>
    </xf>
    <xf numFmtId="14" fontId="7" fillId="0" borderId="114" xfId="0" applyNumberFormat="1" applyFont="1" applyBorder="1" applyAlignment="1" applyProtection="1">
      <alignment horizontal="center" vertical="center"/>
      <protection locked="0"/>
    </xf>
    <xf numFmtId="14" fontId="7" fillId="0" borderId="11" xfId="0" applyNumberFormat="1" applyFont="1" applyBorder="1" applyAlignment="1" applyProtection="1">
      <alignment horizontal="center" vertical="center"/>
      <protection locked="0"/>
    </xf>
    <xf numFmtId="14" fontId="7" fillId="0" borderId="116" xfId="0" applyNumberFormat="1" applyFont="1" applyBorder="1" applyAlignment="1" applyProtection="1">
      <alignment horizontal="center" vertical="center"/>
      <protection locked="0"/>
    </xf>
    <xf numFmtId="14" fontId="7" fillId="0" borderId="117" xfId="0" applyNumberFormat="1" applyFont="1" applyBorder="1" applyAlignment="1" applyProtection="1">
      <alignment horizontal="center" vertical="center"/>
      <protection locked="0"/>
    </xf>
    <xf numFmtId="0" fontId="7" fillId="10" borderId="8" xfId="0" applyFont="1" applyFill="1" applyBorder="1" applyAlignment="1" applyProtection="1">
      <alignment horizontal="center" vertical="center"/>
    </xf>
    <xf numFmtId="0" fontId="7" fillId="0" borderId="47" xfId="0" applyFont="1" applyFill="1" applyBorder="1" applyAlignment="1" applyProtection="1">
      <alignment horizontal="center" vertical="center"/>
      <protection locked="0"/>
    </xf>
    <xf numFmtId="0" fontId="7" fillId="0" borderId="50" xfId="0" applyFont="1" applyFill="1" applyBorder="1" applyAlignment="1" applyProtection="1">
      <alignment horizontal="center" vertical="center"/>
      <protection locked="0"/>
    </xf>
    <xf numFmtId="0" fontId="7" fillId="0" borderId="110"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xf>
    <xf numFmtId="0" fontId="7" fillId="0" borderId="96" xfId="0" applyFont="1" applyBorder="1" applyAlignment="1" applyProtection="1">
      <alignment horizontal="center" vertical="center"/>
    </xf>
    <xf numFmtId="1" fontId="7" fillId="0" borderId="65" xfId="0" applyNumberFormat="1" applyFont="1" applyBorder="1" applyAlignment="1" applyProtection="1">
      <alignment horizontal="center" vertical="center"/>
    </xf>
    <xf numFmtId="0" fontId="7" fillId="0" borderId="116" xfId="0" applyFont="1" applyBorder="1" applyAlignment="1" applyProtection="1">
      <alignment horizontal="center" vertical="center"/>
    </xf>
    <xf numFmtId="0" fontId="7" fillId="0" borderId="117" xfId="0" applyFont="1" applyBorder="1" applyAlignment="1" applyProtection="1">
      <alignment horizontal="center" vertical="center"/>
    </xf>
    <xf numFmtId="0" fontId="7" fillId="0" borderId="114" xfId="0" applyFont="1" applyBorder="1" applyAlignment="1" applyProtection="1">
      <alignment horizontal="center" vertical="center"/>
    </xf>
    <xf numFmtId="0" fontId="7" fillId="0" borderId="11" xfId="0" applyFont="1" applyBorder="1" applyAlignment="1" applyProtection="1">
      <alignment horizontal="center" vertical="center"/>
    </xf>
    <xf numFmtId="2" fontId="7" fillId="10" borderId="18" xfId="0" applyNumberFormat="1" applyFont="1" applyFill="1" applyBorder="1" applyAlignment="1" applyProtection="1">
      <alignment horizontal="center" vertical="center"/>
    </xf>
    <xf numFmtId="2" fontId="7" fillId="10" borderId="116" xfId="0" applyNumberFormat="1" applyFont="1" applyFill="1" applyBorder="1" applyAlignment="1" applyProtection="1">
      <alignment horizontal="center" vertical="center"/>
    </xf>
    <xf numFmtId="2" fontId="7" fillId="10" borderId="114" xfId="0" applyNumberFormat="1" applyFont="1" applyFill="1" applyBorder="1" applyAlignment="1" applyProtection="1">
      <alignment horizontal="center" vertical="center"/>
    </xf>
    <xf numFmtId="2" fontId="7" fillId="10" borderId="117" xfId="0" applyNumberFormat="1" applyFont="1" applyFill="1" applyBorder="1" applyAlignment="1" applyProtection="1">
      <alignment horizontal="center" vertical="center"/>
    </xf>
    <xf numFmtId="0" fontId="7" fillId="0" borderId="118" xfId="0" applyFont="1" applyBorder="1" applyAlignment="1" applyProtection="1">
      <alignment horizontal="center" vertical="center"/>
      <protection locked="0"/>
    </xf>
    <xf numFmtId="2" fontId="7" fillId="10" borderId="119" xfId="0" applyNumberFormat="1" applyFont="1" applyFill="1" applyBorder="1" applyAlignment="1" applyProtection="1">
      <alignment horizontal="center" vertical="center"/>
    </xf>
    <xf numFmtId="2" fontId="7" fillId="10" borderId="11" xfId="0" applyNumberFormat="1" applyFont="1" applyFill="1" applyBorder="1" applyAlignment="1" applyProtection="1">
      <alignment horizontal="center" vertical="center"/>
    </xf>
    <xf numFmtId="0" fontId="7" fillId="10" borderId="114" xfId="0" applyFont="1" applyFill="1" applyBorder="1" applyAlignment="1" applyProtection="1">
      <alignment horizontal="center" vertical="center"/>
    </xf>
    <xf numFmtId="0" fontId="7" fillId="10" borderId="117" xfId="0" applyFont="1" applyFill="1" applyBorder="1" applyAlignment="1" applyProtection="1">
      <alignment horizontal="center" vertical="center"/>
    </xf>
    <xf numFmtId="0" fontId="7" fillId="10" borderId="111" xfId="0" applyFont="1" applyFill="1" applyBorder="1" applyAlignment="1" applyProtection="1">
      <alignment horizontal="center" vertical="center"/>
    </xf>
    <xf numFmtId="0" fontId="35" fillId="0" borderId="12" xfId="0" applyFont="1" applyBorder="1" applyAlignment="1">
      <alignment horizontal="center" vertical="center" textRotation="90" wrapText="1"/>
    </xf>
    <xf numFmtId="0" fontId="35" fillId="0" borderId="11" xfId="0" applyFont="1" applyBorder="1" applyAlignment="1">
      <alignment horizontal="center" vertical="center" textRotation="90" wrapText="1"/>
    </xf>
    <xf numFmtId="0" fontId="35" fillId="0" borderId="8" xfId="0" applyFont="1" applyBorder="1" applyAlignment="1">
      <alignment horizontal="center" vertical="center" textRotation="90" wrapText="1"/>
    </xf>
    <xf numFmtId="0" fontId="35" fillId="0" borderId="1" xfId="0" applyFont="1" applyBorder="1" applyAlignment="1">
      <alignment horizontal="center" vertical="center" textRotation="90"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2" xfId="0" applyFont="1" applyBorder="1" applyAlignment="1">
      <alignment horizontal="center" vertical="top" wrapText="1"/>
    </xf>
    <xf numFmtId="0" fontId="35" fillId="0" borderId="83" xfId="0" applyFont="1" applyBorder="1" applyAlignment="1">
      <alignment horizontal="center" vertical="top" wrapText="1"/>
    </xf>
    <xf numFmtId="0" fontId="35" fillId="0" borderId="3" xfId="0" applyFont="1" applyBorder="1" applyAlignment="1">
      <alignment horizontal="center" vertical="top" wrapText="1"/>
    </xf>
    <xf numFmtId="0" fontId="1" fillId="0" borderId="8" xfId="0" applyFont="1" applyBorder="1" applyAlignment="1">
      <alignment horizontal="center" vertical="center" wrapText="1"/>
    </xf>
    <xf numFmtId="0" fontId="8" fillId="0" borderId="20" xfId="0" applyFont="1" applyFill="1" applyBorder="1" applyAlignment="1">
      <alignment horizontal="center"/>
    </xf>
    <xf numFmtId="0" fontId="8" fillId="0" borderId="21" xfId="0" applyFont="1" applyFill="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3" borderId="23" xfId="0" applyFont="1" applyFill="1" applyBorder="1" applyAlignment="1">
      <alignment horizontal="center"/>
    </xf>
    <xf numFmtId="0" fontId="8" fillId="3" borderId="24" xfId="0" applyFont="1" applyFill="1" applyBorder="1" applyAlignment="1">
      <alignment horizontal="center"/>
    </xf>
    <xf numFmtId="0" fontId="8" fillId="3" borderId="25" xfId="0" applyFont="1" applyFill="1" applyBorder="1" applyAlignment="1">
      <alignment horizontal="center"/>
    </xf>
    <xf numFmtId="0" fontId="7" fillId="4" borderId="26" xfId="0" applyFont="1" applyFill="1" applyBorder="1" applyAlignment="1">
      <alignment horizontal="center"/>
    </xf>
    <xf numFmtId="0" fontId="7" fillId="4" borderId="27" xfId="0" applyFont="1" applyFill="1" applyBorder="1" applyAlignment="1">
      <alignment horizontal="center"/>
    </xf>
    <xf numFmtId="0" fontId="7" fillId="4" borderId="28" xfId="0" applyFont="1" applyFill="1" applyBorder="1" applyAlignment="1">
      <alignment horizontal="center"/>
    </xf>
    <xf numFmtId="0" fontId="7" fillId="4" borderId="30" xfId="0" applyFont="1" applyFill="1" applyBorder="1" applyAlignment="1">
      <alignment horizontal="center"/>
    </xf>
    <xf numFmtId="0" fontId="7" fillId="4" borderId="31" xfId="0" applyFont="1" applyFill="1" applyBorder="1" applyAlignment="1">
      <alignment horizontal="center"/>
    </xf>
    <xf numFmtId="0" fontId="7" fillId="4" borderId="29" xfId="0" applyFont="1" applyFill="1" applyBorder="1" applyAlignment="1">
      <alignment horizontal="center"/>
    </xf>
    <xf numFmtId="0" fontId="7" fillId="5" borderId="29" xfId="0" applyFont="1" applyFill="1" applyBorder="1" applyAlignment="1">
      <alignment horizontal="center"/>
    </xf>
    <xf numFmtId="0" fontId="7" fillId="5" borderId="30" xfId="0" applyFont="1" applyFill="1" applyBorder="1" applyAlignment="1">
      <alignment horizontal="center"/>
    </xf>
    <xf numFmtId="0" fontId="7" fillId="5" borderId="31" xfId="0" applyFont="1" applyFill="1" applyBorder="1" applyAlignment="1">
      <alignment horizontal="center"/>
    </xf>
    <xf numFmtId="0" fontId="8" fillId="0" borderId="14" xfId="0" applyFont="1" applyFill="1" applyBorder="1" applyAlignment="1">
      <alignment horizontal="center"/>
    </xf>
    <xf numFmtId="0" fontId="7" fillId="0" borderId="15" xfId="0" applyFont="1" applyBorder="1"/>
    <xf numFmtId="0" fontId="7" fillId="0" borderId="16" xfId="0" applyFont="1" applyBorder="1"/>
    <xf numFmtId="0" fontId="8" fillId="0" borderId="15" xfId="0" applyFont="1" applyFill="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8" fillId="0" borderId="16" xfId="0" applyFont="1" applyFill="1" applyBorder="1" applyAlignment="1">
      <alignment horizontal="center"/>
    </xf>
    <xf numFmtId="0" fontId="7" fillId="6" borderId="32" xfId="0" applyFont="1" applyFill="1" applyBorder="1" applyAlignment="1">
      <alignment horizontal="center"/>
    </xf>
    <xf numFmtId="0" fontId="7" fillId="6" borderId="33" xfId="0" applyFont="1" applyFill="1" applyBorder="1" applyAlignment="1">
      <alignment horizontal="center"/>
    </xf>
    <xf numFmtId="0" fontId="7" fillId="6" borderId="80" xfId="0" applyFont="1" applyFill="1" applyBorder="1" applyAlignment="1">
      <alignment horizontal="center"/>
    </xf>
    <xf numFmtId="0" fontId="7" fillId="6" borderId="34" xfId="0" applyFont="1" applyFill="1" applyBorder="1" applyAlignment="1">
      <alignment horizontal="center"/>
    </xf>
    <xf numFmtId="0" fontId="7" fillId="7" borderId="35" xfId="0" applyFont="1" applyFill="1" applyBorder="1" applyAlignment="1">
      <alignment horizontal="center"/>
    </xf>
    <xf numFmtId="0" fontId="7" fillId="7" borderId="36" xfId="0" applyFont="1" applyFill="1" applyBorder="1" applyAlignment="1">
      <alignment horizontal="center"/>
    </xf>
    <xf numFmtId="0" fontId="8" fillId="4" borderId="29" xfId="0" applyFont="1" applyFill="1" applyBorder="1" applyAlignment="1">
      <alignment horizontal="center"/>
    </xf>
    <xf numFmtId="0" fontId="8" fillId="4" borderId="30" xfId="0" applyFont="1" applyFill="1" applyBorder="1" applyAlignment="1">
      <alignment horizontal="center"/>
    </xf>
    <xf numFmtId="0" fontId="8" fillId="4" borderId="31" xfId="0" applyFont="1" applyFill="1" applyBorder="1" applyAlignment="1">
      <alignment horizontal="center"/>
    </xf>
    <xf numFmtId="0" fontId="7" fillId="4" borderId="37" xfId="0" applyFont="1" applyFill="1" applyBorder="1" applyAlignment="1">
      <alignment horizontal="center"/>
    </xf>
    <xf numFmtId="0" fontId="7" fillId="4" borderId="38" xfId="0" applyFont="1" applyFill="1" applyBorder="1" applyAlignment="1">
      <alignment horizontal="center"/>
    </xf>
    <xf numFmtId="0" fontId="7" fillId="4" borderId="99" xfId="0" applyFont="1" applyFill="1" applyBorder="1" applyAlignment="1">
      <alignment horizontal="center"/>
    </xf>
    <xf numFmtId="0" fontId="8" fillId="0" borderId="50" xfId="0" applyFont="1" applyFill="1" applyBorder="1" applyAlignment="1">
      <alignment horizontal="center"/>
    </xf>
    <xf numFmtId="0" fontId="8" fillId="0" borderId="12" xfId="0" applyFont="1" applyFill="1" applyBorder="1" applyAlignment="1">
      <alignment horizontal="center"/>
    </xf>
    <xf numFmtId="0" fontId="8" fillId="0" borderId="51" xfId="0" applyFont="1" applyFill="1" applyBorder="1" applyAlignment="1">
      <alignment horizontal="center"/>
    </xf>
    <xf numFmtId="0" fontId="8" fillId="0" borderId="39" xfId="0" applyFont="1" applyFill="1" applyBorder="1" applyAlignment="1">
      <alignment horizontal="center"/>
    </xf>
    <xf numFmtId="0" fontId="8" fillId="0" borderId="1" xfId="0" applyFont="1" applyFill="1" applyBorder="1" applyAlignment="1">
      <alignment horizontal="center"/>
    </xf>
    <xf numFmtId="0" fontId="8" fillId="0" borderId="40" xfId="0" applyFont="1" applyFill="1" applyBorder="1" applyAlignment="1">
      <alignment horizontal="center"/>
    </xf>
    <xf numFmtId="0" fontId="8" fillId="0" borderId="42" xfId="0" applyFont="1" applyFill="1" applyBorder="1" applyAlignment="1">
      <alignment horizontal="center"/>
    </xf>
    <xf numFmtId="0" fontId="8" fillId="0" borderId="43" xfId="0" applyFont="1" applyFill="1" applyBorder="1" applyAlignment="1">
      <alignment horizontal="center"/>
    </xf>
    <xf numFmtId="0" fontId="7" fillId="0" borderId="52" xfId="0" applyFont="1" applyFill="1" applyBorder="1" applyAlignment="1">
      <alignment horizontal="center"/>
    </xf>
    <xf numFmtId="0" fontId="7" fillId="0" borderId="53" xfId="0" applyFont="1" applyFill="1" applyBorder="1" applyAlignment="1">
      <alignment horizontal="center"/>
    </xf>
    <xf numFmtId="0" fontId="8" fillId="0" borderId="41" xfId="0" applyFont="1" applyFill="1" applyBorder="1" applyAlignment="1">
      <alignment horizontal="center"/>
    </xf>
    <xf numFmtId="0" fontId="7" fillId="0" borderId="0" xfId="0" applyFont="1" applyFill="1" applyAlignment="1">
      <alignment horizontal="center" vertical="top" textRotation="90"/>
    </xf>
    <xf numFmtId="0" fontId="8" fillId="0" borderId="52" xfId="0" applyFont="1" applyFill="1" applyBorder="1" applyAlignment="1">
      <alignment horizontal="center"/>
    </xf>
    <xf numFmtId="0" fontId="8" fillId="0" borderId="53" xfId="0" applyFont="1" applyFill="1" applyBorder="1" applyAlignment="1">
      <alignment horizontal="center"/>
    </xf>
    <xf numFmtId="0" fontId="8" fillId="0" borderId="100" xfId="0" applyFont="1" applyFill="1" applyBorder="1" applyAlignment="1">
      <alignment horizontal="center"/>
    </xf>
    <xf numFmtId="0" fontId="8" fillId="0" borderId="2" xfId="0" applyFont="1" applyFill="1" applyBorder="1" applyAlignment="1">
      <alignment horizontal="center"/>
    </xf>
    <xf numFmtId="0" fontId="7" fillId="0" borderId="72" xfId="0" applyFont="1" applyBorder="1" applyAlignment="1">
      <alignment horizontal="center" vertical="center"/>
    </xf>
    <xf numFmtId="0" fontId="8" fillId="0" borderId="0" xfId="0" applyFont="1" applyFill="1" applyAlignment="1">
      <alignment horizontal="center" vertical="top" textRotation="90"/>
    </xf>
    <xf numFmtId="0" fontId="7" fillId="0" borderId="0" xfId="0" applyFont="1" applyAlignment="1">
      <alignment horizontal="center" vertical="top" textRotation="90"/>
    </xf>
    <xf numFmtId="0" fontId="7" fillId="0" borderId="0" xfId="0" applyFont="1" applyFill="1" applyAlignment="1">
      <alignment horizontal="center" vertical="top" textRotation="90" wrapText="1"/>
    </xf>
    <xf numFmtId="2" fontId="27" fillId="20" borderId="2" xfId="0" applyNumberFormat="1" applyFont="1" applyFill="1" applyBorder="1" applyAlignment="1">
      <alignment horizontal="center" vertical="center"/>
    </xf>
    <xf numFmtId="2" fontId="27" fillId="20" borderId="83" xfId="0" applyNumberFormat="1" applyFont="1" applyFill="1" applyBorder="1" applyAlignment="1">
      <alignment horizontal="center" vertical="center"/>
    </xf>
    <xf numFmtId="2" fontId="27" fillId="20" borderId="3" xfId="0" applyNumberFormat="1" applyFont="1" applyFill="1" applyBorder="1" applyAlignment="1">
      <alignment horizontal="center" vertical="center"/>
    </xf>
    <xf numFmtId="0" fontId="27" fillId="21" borderId="12" xfId="0" applyFont="1" applyFill="1" applyBorder="1" applyAlignment="1">
      <alignment horizontal="center" vertical="center"/>
    </xf>
    <xf numFmtId="0" fontId="27" fillId="21" borderId="11" xfId="0" applyFont="1" applyFill="1" applyBorder="1" applyAlignment="1">
      <alignment horizontal="center" vertical="center"/>
    </xf>
    <xf numFmtId="0" fontId="27" fillId="21" borderId="8" xfId="0" applyFont="1" applyFill="1" applyBorder="1" applyAlignment="1">
      <alignment horizontal="center" vertical="center"/>
    </xf>
    <xf numFmtId="2" fontId="27" fillId="20" borderId="98" xfId="0" applyNumberFormat="1" applyFont="1" applyFill="1" applyBorder="1" applyAlignment="1">
      <alignment horizontal="center" vertical="center"/>
    </xf>
    <xf numFmtId="2" fontId="27" fillId="20" borderId="97" xfId="0" applyNumberFormat="1" applyFont="1" applyFill="1" applyBorder="1" applyAlignment="1">
      <alignment horizontal="center" vertical="center"/>
    </xf>
    <xf numFmtId="2" fontId="27" fillId="20" borderId="12" xfId="0" applyNumberFormat="1" applyFont="1" applyFill="1" applyBorder="1" applyAlignment="1">
      <alignment horizontal="center" vertical="center"/>
    </xf>
    <xf numFmtId="2" fontId="27" fillId="20" borderId="8" xfId="0" applyNumberFormat="1" applyFont="1" applyFill="1" applyBorder="1" applyAlignment="1">
      <alignment horizontal="center" vertical="center"/>
    </xf>
    <xf numFmtId="0" fontId="7" fillId="0" borderId="0" xfId="0" applyFont="1" applyFill="1" applyBorder="1" applyAlignment="1">
      <alignment horizontal="center" vertical="top" textRotation="90"/>
    </xf>
    <xf numFmtId="0" fontId="7" fillId="4" borderId="79" xfId="0" applyFont="1" applyFill="1" applyBorder="1" applyAlignment="1">
      <alignment horizontal="center"/>
    </xf>
    <xf numFmtId="0" fontId="31" fillId="0" borderId="2" xfId="0" applyFont="1" applyBorder="1" applyAlignment="1" applyProtection="1">
      <alignment horizontal="center"/>
      <protection locked="0"/>
    </xf>
    <xf numFmtId="0" fontId="31" fillId="0" borderId="83" xfId="0" applyFont="1" applyBorder="1" applyAlignment="1" applyProtection="1">
      <alignment horizontal="center"/>
      <protection locked="0"/>
    </xf>
    <xf numFmtId="0" fontId="31" fillId="0" borderId="3" xfId="0" applyFont="1" applyBorder="1" applyAlignment="1" applyProtection="1">
      <alignment horizontal="center"/>
      <protection locked="0"/>
    </xf>
    <xf numFmtId="0" fontId="32" fillId="0" borderId="2" xfId="0" applyFont="1" applyBorder="1" applyAlignment="1" applyProtection="1">
      <alignment horizontal="center"/>
      <protection locked="0"/>
    </xf>
    <xf numFmtId="0" fontId="32" fillId="0" borderId="83" xfId="0" applyFont="1" applyBorder="1" applyAlignment="1" applyProtection="1">
      <alignment horizontal="center"/>
      <protection locked="0"/>
    </xf>
    <xf numFmtId="0" fontId="3" fillId="21" borderId="0" xfId="0" applyFont="1" applyFill="1" applyBorder="1" applyAlignment="1">
      <alignment horizontal="center" vertical="justify"/>
    </xf>
    <xf numFmtId="0" fontId="3" fillId="21" borderId="85" xfId="0" applyFont="1" applyFill="1" applyBorder="1" applyAlignment="1">
      <alignment horizontal="center" vertical="justify"/>
    </xf>
    <xf numFmtId="0" fontId="2" fillId="21" borderId="2" xfId="0" quotePrefix="1" applyFont="1" applyFill="1" applyBorder="1" applyAlignment="1">
      <alignment vertical="top"/>
    </xf>
    <xf numFmtId="0" fontId="2" fillId="21" borderId="3" xfId="0" quotePrefix="1" applyFont="1" applyFill="1" applyBorder="1" applyAlignment="1">
      <alignment vertical="top"/>
    </xf>
    <xf numFmtId="0" fontId="3" fillId="21" borderId="2" xfId="0" applyFont="1" applyFill="1" applyBorder="1" applyAlignment="1">
      <alignment vertical="top"/>
    </xf>
    <xf numFmtId="0" fontId="3" fillId="21" borderId="3" xfId="0" applyFont="1" applyFill="1" applyBorder="1" applyAlignment="1">
      <alignment vertical="top"/>
    </xf>
    <xf numFmtId="0" fontId="3" fillId="21" borderId="66" xfId="0" applyFont="1" applyFill="1" applyBorder="1" applyAlignment="1">
      <alignment vertical="top"/>
    </xf>
    <xf numFmtId="0" fontId="3" fillId="21" borderId="66" xfId="0" applyFont="1" applyFill="1" applyBorder="1" applyAlignment="1">
      <alignment vertical="top" wrapText="1"/>
    </xf>
    <xf numFmtId="0" fontId="2" fillId="21" borderId="0" xfId="0" applyFont="1" applyFill="1" applyBorder="1" applyAlignment="1" applyProtection="1">
      <alignment horizontal="left" vertical="top"/>
      <protection locked="0"/>
    </xf>
    <xf numFmtId="0" fontId="20" fillId="21" borderId="0" xfId="0" applyFont="1" applyFill="1" applyBorder="1" applyAlignment="1">
      <alignment vertical="top"/>
    </xf>
    <xf numFmtId="0" fontId="2" fillId="21" borderId="83" xfId="0" applyFont="1" applyFill="1" applyBorder="1" applyAlignment="1" applyProtection="1">
      <alignment vertical="top"/>
      <protection locked="0"/>
    </xf>
    <xf numFmtId="0" fontId="2" fillId="21" borderId="2" xfId="0" applyFont="1" applyFill="1" applyBorder="1" applyAlignment="1">
      <alignment vertical="top"/>
    </xf>
    <xf numFmtId="0" fontId="6" fillId="21" borderId="87" xfId="0" applyFont="1" applyFill="1" applyBorder="1" applyAlignment="1" applyProtection="1">
      <alignment vertical="top"/>
      <protection locked="0"/>
    </xf>
    <xf numFmtId="0" fontId="3" fillId="21" borderId="102" xfId="0" applyFont="1" applyFill="1" applyBorder="1" applyAlignment="1" applyProtection="1">
      <alignment horizontal="left" vertical="top" indent="1"/>
      <protection locked="0"/>
    </xf>
    <xf numFmtId="0" fontId="3" fillId="21" borderId="0" xfId="0" applyNumberFormat="1" applyFont="1" applyFill="1" applyBorder="1" applyAlignment="1" applyProtection="1">
      <alignment vertical="top" wrapText="1"/>
      <protection locked="0"/>
    </xf>
    <xf numFmtId="0" fontId="2" fillId="0" borderId="0" xfId="0" applyFont="1" applyBorder="1" applyAlignment="1" applyProtection="1">
      <alignment horizontal="center" vertical="top"/>
      <protection locked="0"/>
    </xf>
    <xf numFmtId="0" fontId="3" fillId="0" borderId="0" xfId="0" applyFont="1" applyAlignment="1">
      <alignment vertical="top"/>
    </xf>
    <xf numFmtId="0" fontId="20" fillId="21" borderId="0" xfId="0" quotePrefix="1" applyNumberFormat="1" applyFont="1" applyFill="1" applyBorder="1" applyAlignment="1" applyProtection="1">
      <alignment vertical="top" wrapText="1" shrinkToFit="1"/>
      <protection locked="0"/>
    </xf>
    <xf numFmtId="0" fontId="20" fillId="21" borderId="85" xfId="0" quotePrefix="1" applyNumberFormat="1" applyFont="1" applyFill="1" applyBorder="1" applyAlignment="1" applyProtection="1">
      <alignment vertical="top" wrapText="1" shrinkToFit="1"/>
      <protection locked="0"/>
    </xf>
    <xf numFmtId="0" fontId="3" fillId="21" borderId="102" xfId="0" applyNumberFormat="1" applyFont="1" applyFill="1" applyBorder="1" applyAlignment="1" applyProtection="1">
      <alignment horizontal="left" vertical="top" indent="1"/>
      <protection locked="0"/>
    </xf>
    <xf numFmtId="0" fontId="3" fillId="21" borderId="102" xfId="0" quotePrefix="1" applyNumberFormat="1" applyFont="1" applyFill="1" applyBorder="1" applyAlignment="1" applyProtection="1">
      <alignment horizontal="left" vertical="top" indent="1"/>
      <protection locked="0"/>
    </xf>
    <xf numFmtId="0" fontId="3" fillId="21" borderId="0" xfId="0" applyFont="1" applyFill="1" applyBorder="1" applyAlignment="1" applyProtection="1">
      <alignment vertical="top" wrapText="1"/>
      <protection locked="0"/>
    </xf>
    <xf numFmtId="0" fontId="3" fillId="21" borderId="0" xfId="0" applyFont="1" applyFill="1" applyBorder="1" applyAlignment="1" applyProtection="1">
      <alignment vertical="top"/>
      <protection locked="0"/>
    </xf>
    <xf numFmtId="0" fontId="3" fillId="21" borderId="0" xfId="0" applyFont="1" applyFill="1" applyBorder="1" applyAlignment="1" applyProtection="1">
      <alignment horizontal="justify" vertical="top" wrapText="1"/>
      <protection locked="0"/>
    </xf>
    <xf numFmtId="0" fontId="2" fillId="18" borderId="0" xfId="0" applyFont="1" applyFill="1" applyBorder="1" applyAlignment="1" applyProtection="1">
      <alignment horizontal="center" vertical="top"/>
      <protection locked="0"/>
    </xf>
    <xf numFmtId="0" fontId="3" fillId="21" borderId="84" xfId="0" applyFont="1" applyFill="1" applyBorder="1" applyAlignment="1" applyProtection="1">
      <alignment horizontal="left" vertical="top"/>
      <protection locked="0"/>
    </xf>
    <xf numFmtId="0" fontId="3" fillId="21" borderId="84" xfId="0" applyFont="1" applyFill="1" applyBorder="1" applyAlignment="1" applyProtection="1">
      <alignment vertical="top"/>
      <protection locked="0"/>
    </xf>
    <xf numFmtId="0" fontId="3" fillId="21" borderId="0" xfId="0" quotePrefix="1" applyFont="1" applyFill="1" applyBorder="1" applyAlignment="1" applyProtection="1">
      <alignment horizontal="left" vertical="top"/>
      <protection locked="0"/>
    </xf>
    <xf numFmtId="0" fontId="2" fillId="15" borderId="83" xfId="0" applyFont="1" applyFill="1" applyBorder="1" applyAlignment="1" applyProtection="1">
      <alignment horizontal="left" vertical="top"/>
      <protection locked="0"/>
    </xf>
    <xf numFmtId="0" fontId="3" fillId="21" borderId="86" xfId="0" applyFont="1" applyFill="1" applyBorder="1" applyAlignment="1" applyProtection="1">
      <alignment horizontal="left" vertical="top" wrapText="1" indent="1"/>
      <protection locked="0"/>
    </xf>
    <xf numFmtId="0" fontId="2" fillId="21" borderId="103" xfId="0" applyFont="1" applyFill="1" applyBorder="1" applyAlignment="1" applyProtection="1">
      <alignment vertical="top"/>
      <protection locked="0"/>
    </xf>
    <xf numFmtId="0" fontId="3" fillId="21" borderId="85" xfId="0" applyFont="1" applyFill="1" applyBorder="1" applyAlignment="1" applyProtection="1">
      <alignment vertical="top"/>
      <protection locked="0"/>
    </xf>
    <xf numFmtId="0" fontId="3" fillId="21" borderId="0" xfId="0" quotePrefix="1" applyFont="1" applyFill="1" applyBorder="1" applyAlignment="1" applyProtection="1">
      <alignment horizontal="left" vertical="top" wrapText="1" indent="1"/>
      <protection locked="0"/>
    </xf>
    <xf numFmtId="0" fontId="3" fillId="21" borderId="0" xfId="0" quotePrefix="1" applyFont="1" applyFill="1" applyBorder="1" applyAlignment="1" applyProtection="1">
      <alignment horizontal="left" vertical="top" indent="1"/>
      <protection locked="0"/>
    </xf>
    <xf numFmtId="0" fontId="3" fillId="21" borderId="0" xfId="0" applyFont="1" applyFill="1" applyBorder="1" applyAlignment="1" applyProtection="1">
      <alignment horizontal="left" vertical="top" indent="1"/>
      <protection locked="0"/>
    </xf>
    <xf numFmtId="0" fontId="3" fillId="21" borderId="0" xfId="0" applyFont="1" applyFill="1" applyBorder="1" applyAlignment="1" applyProtection="1">
      <alignment horizontal="left" vertical="top" wrapText="1" indent="1"/>
      <protection locked="0"/>
    </xf>
    <xf numFmtId="0" fontId="2" fillId="21" borderId="10" xfId="0" applyFont="1" applyFill="1" applyBorder="1" applyAlignment="1" applyProtection="1">
      <alignment vertical="top"/>
      <protection locked="0"/>
    </xf>
    <xf numFmtId="0" fontId="2" fillId="21" borderId="9" xfId="0" applyFont="1" applyFill="1" applyBorder="1" applyAlignment="1" applyProtection="1">
      <alignment vertical="top"/>
      <protection locked="0"/>
    </xf>
    <xf numFmtId="0" fontId="21" fillId="21" borderId="95" xfId="0" applyFont="1" applyFill="1" applyBorder="1" applyAlignment="1">
      <alignment horizontal="center" vertical="top" wrapText="1"/>
    </xf>
    <xf numFmtId="0" fontId="21" fillId="21" borderId="0" xfId="0" applyFont="1" applyFill="1" applyBorder="1" applyAlignment="1">
      <alignment horizontal="center" vertical="top" wrapText="1"/>
    </xf>
    <xf numFmtId="0" fontId="21" fillId="21" borderId="77" xfId="0" applyFont="1" applyFill="1" applyBorder="1" applyAlignment="1">
      <alignment horizontal="center" vertical="top" wrapText="1"/>
    </xf>
    <xf numFmtId="0" fontId="2" fillId="21" borderId="82" xfId="0" applyFont="1" applyFill="1" applyBorder="1" applyAlignment="1" applyProtection="1">
      <alignment vertical="top"/>
      <protection locked="0"/>
    </xf>
    <xf numFmtId="0" fontId="3" fillId="21" borderId="66" xfId="0" applyNumberFormat="1" applyFont="1" applyFill="1" applyBorder="1" applyAlignment="1" applyProtection="1">
      <alignment vertical="top" wrapText="1"/>
      <protection locked="0"/>
    </xf>
    <xf numFmtId="0" fontId="3" fillId="21" borderId="66" xfId="0" applyNumberFormat="1" applyFont="1" applyFill="1" applyBorder="1" applyAlignment="1" applyProtection="1">
      <alignment vertical="top"/>
      <protection locked="0"/>
    </xf>
    <xf numFmtId="0" fontId="2" fillId="21" borderId="0" xfId="0" applyFont="1" applyFill="1" applyAlignment="1" applyProtection="1">
      <alignment vertical="top"/>
      <protection locked="0"/>
    </xf>
    <xf numFmtId="0" fontId="2" fillId="21" borderId="3" xfId="0" applyFont="1" applyFill="1" applyBorder="1" applyAlignment="1">
      <alignment vertical="top"/>
    </xf>
    <xf numFmtId="0" fontId="3" fillId="21" borderId="85" xfId="0" applyFont="1" applyFill="1" applyBorder="1" applyAlignment="1" applyProtection="1">
      <alignment horizontal="justify" vertical="top" wrapText="1"/>
      <protection locked="0"/>
    </xf>
    <xf numFmtId="0" fontId="3" fillId="21" borderId="85" xfId="0" applyFont="1" applyFill="1" applyBorder="1" applyProtection="1">
      <protection locked="0"/>
    </xf>
    <xf numFmtId="0" fontId="3" fillId="21" borderId="88" xfId="0" applyFont="1" applyFill="1" applyBorder="1" applyAlignment="1" applyProtection="1">
      <alignment horizontal="justify" vertical="top" wrapText="1"/>
      <protection locked="0"/>
    </xf>
    <xf numFmtId="0" fontId="3" fillId="21" borderId="83" xfId="0" applyFont="1" applyFill="1" applyBorder="1" applyAlignment="1" applyProtection="1">
      <alignment horizontal="justify" vertical="top" wrapText="1"/>
      <protection locked="0"/>
    </xf>
    <xf numFmtId="0" fontId="3" fillId="21" borderId="83" xfId="0" applyFont="1" applyFill="1" applyBorder="1" applyAlignment="1" applyProtection="1">
      <alignment horizontal="justify" vertical="top"/>
      <protection locked="0"/>
    </xf>
    <xf numFmtId="0" fontId="2" fillId="21" borderId="83" xfId="0" applyFont="1" applyFill="1" applyBorder="1" applyAlignment="1" applyProtection="1">
      <alignment horizontal="left" vertical="top"/>
      <protection locked="0"/>
    </xf>
    <xf numFmtId="0" fontId="2" fillId="21" borderId="10" xfId="0" applyFont="1" applyFill="1" applyBorder="1" applyAlignment="1">
      <alignment vertical="top"/>
    </xf>
    <xf numFmtId="0" fontId="2" fillId="21" borderId="9" xfId="0" applyFont="1" applyFill="1" applyBorder="1" applyAlignment="1">
      <alignment vertical="top"/>
    </xf>
    <xf numFmtId="0" fontId="6" fillId="21" borderId="0" xfId="0" applyFont="1" applyFill="1" applyBorder="1" applyAlignment="1" applyProtection="1">
      <alignment vertical="top"/>
      <protection locked="0"/>
    </xf>
    <xf numFmtId="0" fontId="3" fillId="21" borderId="78" xfId="0" applyFont="1" applyFill="1" applyBorder="1" applyAlignment="1" applyProtection="1">
      <alignment vertical="top" wrapText="1"/>
      <protection locked="0"/>
    </xf>
    <xf numFmtId="0" fontId="3" fillId="21" borderId="78" xfId="0" applyFont="1" applyFill="1" applyBorder="1" applyAlignment="1">
      <alignment vertical="top" wrapText="1"/>
    </xf>
    <xf numFmtId="0" fontId="2" fillId="21" borderId="83" xfId="0" applyFont="1" applyFill="1" applyBorder="1" applyAlignment="1">
      <alignment vertical="top"/>
    </xf>
    <xf numFmtId="0" fontId="3" fillId="21" borderId="76" xfId="0" applyFont="1" applyFill="1" applyBorder="1" applyAlignment="1" applyProtection="1">
      <alignment horizontal="justify" vertical="top" wrapText="1"/>
      <protection locked="0"/>
    </xf>
    <xf numFmtId="0" fontId="2" fillId="15" borderId="2" xfId="0" applyFont="1" applyFill="1" applyBorder="1" applyAlignment="1">
      <alignment vertical="top" wrapText="1"/>
    </xf>
    <xf numFmtId="0" fontId="2" fillId="15" borderId="83" xfId="0" applyFont="1" applyFill="1" applyBorder="1" applyAlignment="1">
      <alignment vertical="top" wrapText="1"/>
    </xf>
    <xf numFmtId="0" fontId="2" fillId="15" borderId="3" xfId="0" applyFont="1" applyFill="1" applyBorder="1" applyAlignment="1">
      <alignment vertical="top" wrapText="1"/>
    </xf>
    <xf numFmtId="0" fontId="2" fillId="15" borderId="2" xfId="0" applyFont="1" applyFill="1" applyBorder="1" applyAlignment="1">
      <alignment vertical="top"/>
    </xf>
    <xf numFmtId="0" fontId="2" fillId="15" borderId="3" xfId="0" applyFont="1" applyFill="1" applyBorder="1" applyAlignment="1">
      <alignment vertical="top"/>
    </xf>
    <xf numFmtId="0" fontId="2" fillId="15" borderId="83" xfId="0" applyFont="1" applyFill="1" applyBorder="1" applyAlignment="1">
      <alignment vertical="top"/>
    </xf>
    <xf numFmtId="0" fontId="2" fillId="21" borderId="84" xfId="0" applyFont="1" applyFill="1" applyBorder="1" applyAlignment="1" applyProtection="1">
      <alignment vertical="top"/>
      <protection locked="0"/>
    </xf>
    <xf numFmtId="0" fontId="3" fillId="21" borderId="85" xfId="0" applyFont="1" applyFill="1" applyBorder="1" applyAlignment="1" applyProtection="1">
      <alignment horizontal="left" vertical="top" wrapText="1"/>
      <protection locked="0"/>
    </xf>
    <xf numFmtId="0" fontId="2" fillId="0" borderId="0" xfId="0" applyFont="1" applyAlignment="1">
      <alignment horizontal="center" vertical="center"/>
    </xf>
    <xf numFmtId="0" fontId="2" fillId="0" borderId="85" xfId="0" applyFont="1" applyBorder="1" applyAlignment="1">
      <alignment horizontal="center" vertical="center"/>
    </xf>
    <xf numFmtId="0" fontId="2" fillId="0" borderId="0" xfId="0" applyFont="1" applyAlignment="1">
      <alignment vertical="center"/>
    </xf>
    <xf numFmtId="0" fontId="2" fillId="0" borderId="85" xfId="0" applyFont="1" applyBorder="1" applyAlignment="1">
      <alignment vertical="center"/>
    </xf>
    <xf numFmtId="0" fontId="27" fillId="14" borderId="40" xfId="0" applyFont="1" applyFill="1" applyBorder="1" applyAlignment="1">
      <alignment wrapText="1"/>
    </xf>
    <xf numFmtId="0" fontId="24" fillId="0" borderId="40" xfId="0" applyFont="1" applyBorder="1" applyAlignment="1">
      <alignment horizontal="center"/>
    </xf>
    <xf numFmtId="0" fontId="27" fillId="14" borderId="51" xfId="0" applyFont="1" applyFill="1" applyBorder="1" applyAlignment="1">
      <alignment horizontal="center" vertical="center"/>
    </xf>
    <xf numFmtId="0" fontId="27" fillId="14" borderId="49" xfId="0" applyFont="1" applyFill="1" applyBorder="1" applyAlignment="1">
      <alignment horizontal="center" vertical="center"/>
    </xf>
    <xf numFmtId="0" fontId="27" fillId="14" borderId="54" xfId="0" applyFont="1" applyFill="1" applyBorder="1" applyAlignment="1">
      <alignment horizontal="center" vertical="center"/>
    </xf>
    <xf numFmtId="0" fontId="27" fillId="0" borderId="1" xfId="0" applyFont="1" applyBorder="1" applyAlignment="1" applyProtection="1">
      <alignment horizontal="center" vertical="center"/>
      <protection locked="0"/>
    </xf>
    <xf numFmtId="0" fontId="24" fillId="2" borderId="1" xfId="0" applyFont="1" applyFill="1" applyBorder="1" applyAlignment="1" applyProtection="1">
      <alignment horizontal="center" vertical="center" textRotation="90" wrapText="1"/>
      <protection locked="0"/>
    </xf>
    <xf numFmtId="0" fontId="27" fillId="2" borderId="1" xfId="0" applyFont="1" applyFill="1" applyBorder="1" applyAlignment="1" applyProtection="1">
      <alignment horizontal="center" vertical="center" textRotation="90" wrapText="1"/>
    </xf>
    <xf numFmtId="0" fontId="24" fillId="2" borderId="1" xfId="0" applyFont="1" applyFill="1" applyBorder="1" applyAlignment="1" applyProtection="1">
      <alignment horizontal="center" vertical="center" textRotation="90" wrapText="1"/>
    </xf>
    <xf numFmtId="0" fontId="27" fillId="2" borderId="1" xfId="0" applyFont="1" applyFill="1" applyBorder="1" applyAlignment="1" applyProtection="1">
      <alignment horizontal="center" vertical="center" textRotation="90" wrapText="1"/>
      <protection locked="0"/>
    </xf>
    <xf numFmtId="0" fontId="24" fillId="0" borderId="1" xfId="0" applyFont="1" applyFill="1" applyBorder="1" applyAlignment="1" applyProtection="1">
      <alignment horizontal="center" vertical="center" textRotation="90" wrapText="1"/>
      <protection locked="0"/>
    </xf>
    <xf numFmtId="0" fontId="27" fillId="0" borderId="1" xfId="0" applyFont="1" applyFill="1" applyBorder="1" applyAlignment="1" applyProtection="1">
      <alignment horizontal="center" vertical="center" textRotation="90" wrapText="1"/>
    </xf>
  </cellXfs>
  <cellStyles count="3">
    <cellStyle name="Milliers" xfId="1" builtinId="3"/>
    <cellStyle name="Normal" xfId="0" builtinId="0"/>
    <cellStyle name="Pourcentag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Arial Narrow" pitchFamily="34" charset="0"/>
              </a:defRPr>
            </a:pPr>
            <a:r>
              <a:rPr lang="en-US" sz="1200">
                <a:latin typeface="Arial Narrow" pitchFamily="34" charset="0"/>
              </a:rPr>
              <a:t>Graphique 3.1.1. </a:t>
            </a:r>
            <a:r>
              <a:rPr lang="en-US" sz="1200" b="0">
                <a:latin typeface="Arial Narrow" pitchFamily="34" charset="0"/>
              </a:rPr>
              <a:t>Performance moyenne CVPC </a:t>
            </a:r>
            <a:r>
              <a:rPr lang="en-US" sz="1200" b="0" baseline="0">
                <a:latin typeface="Arial Narrow" pitchFamily="34" charset="0"/>
              </a:rPr>
              <a:t>gouvernance</a:t>
            </a:r>
            <a:endParaRPr lang="en-US" sz="1200" b="0">
              <a:latin typeface="Arial Narrow" pitchFamily="34" charset="0"/>
            </a:endParaRPr>
          </a:p>
        </c:rich>
      </c:tx>
      <c:layout/>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FFFF00"/>
            </a:solidFill>
          </c:spPr>
          <c:invertIfNegative val="0"/>
          <c:dPt>
            <c:idx val="2"/>
            <c:invertIfNegative val="0"/>
            <c:bubble3D val="0"/>
            <c:spPr>
              <a:solidFill>
                <a:srgbClr val="FF0000"/>
              </a:solidFill>
            </c:spPr>
          </c:dPt>
          <c:dPt>
            <c:idx val="4"/>
            <c:invertIfNegative val="0"/>
            <c:bubble3D val="0"/>
            <c:spPr>
              <a:solidFill>
                <a:srgbClr val="FF0000"/>
              </a:solidFill>
            </c:spPr>
          </c:dPt>
          <c:cat>
            <c:multiLvlStrRef>
              <c:f>'SYNTHE AUTO EVA'!$C$2:$I$3</c:f>
              <c:multiLvlStrCache>
                <c:ptCount val="7"/>
                <c:lvl>
                  <c:pt idx="0">
                    <c:v>TENUE DES REUNIONS DU CA</c:v>
                  </c:pt>
                  <c:pt idx="1">
                    <c:v>TENUE DES AG</c:v>
                  </c:pt>
                  <c:pt idx="2">
                    <c:v>CONTRÔLE CC</c:v>
                  </c:pt>
                  <c:pt idx="3">
                    <c:v>RESPECT DES TEXTES</c:v>
                  </c:pt>
                  <c:pt idx="4">
                    <c:v>TENUE DU REGISTRE DES MEMBRES</c:v>
                  </c:pt>
                  <c:pt idx="5">
                    <c:v>EXISTENCE DES DOCUMENTS ADMINISTRATIFS ET COMPTABLES</c:v>
                  </c:pt>
                  <c:pt idx="6">
                    <c:v>GOUVERNANCE</c:v>
                  </c:pt>
                </c:lvl>
                <c:lvl>
                  <c:pt idx="0">
                    <c:v>A.1</c:v>
                  </c:pt>
                  <c:pt idx="1">
                    <c:v>A.2</c:v>
                  </c:pt>
                  <c:pt idx="2">
                    <c:v>A.3</c:v>
                  </c:pt>
                  <c:pt idx="3">
                    <c:v>A.4</c:v>
                  </c:pt>
                  <c:pt idx="4">
                    <c:v>A.5</c:v>
                  </c:pt>
                  <c:pt idx="5">
                    <c:v>A.6</c:v>
                  </c:pt>
                  <c:pt idx="6">
                    <c:v>A</c:v>
                  </c:pt>
                </c:lvl>
              </c:multiLvlStrCache>
            </c:multiLvlStrRef>
          </c:cat>
          <c:val>
            <c:numRef>
              <c:f>'SYNTHE AUTO EVA'!$C$11:$I$11</c:f>
              <c:numCache>
                <c:formatCode>0.00</c:formatCode>
                <c:ptCount val="7"/>
                <c:pt idx="0">
                  <c:v>2.0666666666666669</c:v>
                </c:pt>
                <c:pt idx="1">
                  <c:v>1.9333333333333333</c:v>
                </c:pt>
                <c:pt idx="2">
                  <c:v>1.2666666666666666</c:v>
                </c:pt>
                <c:pt idx="3">
                  <c:v>2.2000000000000002</c:v>
                </c:pt>
                <c:pt idx="4">
                  <c:v>1</c:v>
                </c:pt>
                <c:pt idx="5">
                  <c:v>1.8</c:v>
                </c:pt>
                <c:pt idx="6">
                  <c:v>1.711111111111111</c:v>
                </c:pt>
              </c:numCache>
            </c:numRef>
          </c:val>
        </c:ser>
        <c:dLbls>
          <c:showLegendKey val="0"/>
          <c:showVal val="0"/>
          <c:showCatName val="0"/>
          <c:showSerName val="0"/>
          <c:showPercent val="0"/>
          <c:showBubbleSize val="0"/>
        </c:dLbls>
        <c:gapWidth val="150"/>
        <c:axId val="90727552"/>
        <c:axId val="90729088"/>
      </c:barChart>
      <c:catAx>
        <c:axId val="90727552"/>
        <c:scaling>
          <c:orientation val="minMax"/>
        </c:scaling>
        <c:delete val="0"/>
        <c:axPos val="b"/>
        <c:numFmt formatCode="General" sourceLinked="1"/>
        <c:majorTickMark val="out"/>
        <c:minorTickMark val="none"/>
        <c:tickLblPos val="nextTo"/>
        <c:crossAx val="90729088"/>
        <c:crosses val="autoZero"/>
        <c:auto val="1"/>
        <c:lblAlgn val="ctr"/>
        <c:lblOffset val="100"/>
        <c:noMultiLvlLbl val="0"/>
      </c:catAx>
      <c:valAx>
        <c:axId val="90729088"/>
        <c:scaling>
          <c:orientation val="minMax"/>
          <c:max val="3"/>
          <c:min val="0"/>
        </c:scaling>
        <c:delete val="0"/>
        <c:axPos val="l"/>
        <c:majorGridlines>
          <c:spPr>
            <a:ln w="25400">
              <a:solidFill>
                <a:sysClr val="windowText" lastClr="000000">
                  <a:tint val="75000"/>
                  <a:shade val="95000"/>
                  <a:satMod val="105000"/>
                </a:sysClr>
              </a:solidFill>
            </a:ln>
          </c:spPr>
        </c:majorGridlines>
        <c:numFmt formatCode="0.00" sourceLinked="1"/>
        <c:majorTickMark val="out"/>
        <c:minorTickMark val="none"/>
        <c:tickLblPos val="nextTo"/>
        <c:crossAx val="90727552"/>
        <c:crosses val="autoZero"/>
        <c:crossBetween val="between"/>
        <c:majorUnit val="0.75000000000000366"/>
        <c:minorUnit val="4.0000000000000022E-2"/>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fr-FR" sz="1200">
                <a:latin typeface="Arial Narrow" pitchFamily="34" charset="0"/>
              </a:rPr>
              <a:t>Graphe 3.2.6.:</a:t>
            </a:r>
            <a:r>
              <a:rPr lang="fr-FR" sz="1200" b="0">
                <a:latin typeface="Arial Narrow" pitchFamily="34" charset="0"/>
              </a:rPr>
              <a:t>Répartition des CVPC suivant</a:t>
            </a:r>
            <a:r>
              <a:rPr lang="fr-FR" sz="1200" b="0" baseline="0">
                <a:latin typeface="Arial Narrow" pitchFamily="34" charset="0"/>
              </a:rPr>
              <a:t> performance en </a:t>
            </a:r>
            <a:r>
              <a:rPr lang="fr-FR" sz="1200" b="0">
                <a:latin typeface="Arial Narrow" pitchFamily="34" charset="0"/>
              </a:rPr>
              <a:t>Commercialisation selon différents critères</a:t>
            </a:r>
          </a:p>
        </c:rich>
      </c:tx>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strRef>
              <c:f>'SYNTHE AUTO EVA'!$W$2:$AD$2</c:f>
              <c:strCache>
                <c:ptCount val="8"/>
                <c:pt idx="0">
                  <c:v>E.1</c:v>
                </c:pt>
                <c:pt idx="1">
                  <c:v>E.2</c:v>
                </c:pt>
                <c:pt idx="2">
                  <c:v>E.3</c:v>
                </c:pt>
                <c:pt idx="3">
                  <c:v>E.4</c:v>
                </c:pt>
                <c:pt idx="4">
                  <c:v>E.5</c:v>
                </c:pt>
                <c:pt idx="5">
                  <c:v>E.6</c:v>
                </c:pt>
                <c:pt idx="6">
                  <c:v>E</c:v>
                </c:pt>
                <c:pt idx="7">
                  <c:v>F.1</c:v>
                </c:pt>
              </c:strCache>
            </c:strRef>
          </c:cat>
          <c:val>
            <c:numRef>
              <c:f>'SYNTHE AUTO EVA'!$W$8:$AB$8</c:f>
              <c:numCache>
                <c:formatCode>0%</c:formatCode>
                <c:ptCount val="6"/>
                <c:pt idx="0">
                  <c:v>0</c:v>
                </c:pt>
                <c:pt idx="1">
                  <c:v>0</c:v>
                </c:pt>
                <c:pt idx="2">
                  <c:v>0</c:v>
                </c:pt>
                <c:pt idx="3">
                  <c:v>0.6</c:v>
                </c:pt>
                <c:pt idx="4">
                  <c:v>0</c:v>
                </c:pt>
                <c:pt idx="5">
                  <c:v>0</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strRef>
              <c:f>'SYNTHE AUTO EVA'!$W$2:$AD$2</c:f>
              <c:strCache>
                <c:ptCount val="8"/>
                <c:pt idx="0">
                  <c:v>E.1</c:v>
                </c:pt>
                <c:pt idx="1">
                  <c:v>E.2</c:v>
                </c:pt>
                <c:pt idx="2">
                  <c:v>E.3</c:v>
                </c:pt>
                <c:pt idx="3">
                  <c:v>E.4</c:v>
                </c:pt>
                <c:pt idx="4">
                  <c:v>E.5</c:v>
                </c:pt>
                <c:pt idx="5">
                  <c:v>E.6</c:v>
                </c:pt>
                <c:pt idx="6">
                  <c:v>E</c:v>
                </c:pt>
                <c:pt idx="7">
                  <c:v>F.1</c:v>
                </c:pt>
              </c:strCache>
            </c:strRef>
          </c:cat>
          <c:val>
            <c:numRef>
              <c:f>'SYNTHE AUTO EVA'!$W$9:$AB$9</c:f>
              <c:numCache>
                <c:formatCode>0%</c:formatCode>
                <c:ptCount val="6"/>
                <c:pt idx="0">
                  <c:v>0</c:v>
                </c:pt>
                <c:pt idx="1">
                  <c:v>0</c:v>
                </c:pt>
                <c:pt idx="2">
                  <c:v>0</c:v>
                </c:pt>
                <c:pt idx="3">
                  <c:v>0.4</c:v>
                </c:pt>
                <c:pt idx="4">
                  <c:v>0</c:v>
                </c:pt>
                <c:pt idx="5">
                  <c:v>0</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EVA'!$W$2:$AD$2</c:f>
              <c:strCache>
                <c:ptCount val="8"/>
                <c:pt idx="0">
                  <c:v>E.1</c:v>
                </c:pt>
                <c:pt idx="1">
                  <c:v>E.2</c:v>
                </c:pt>
                <c:pt idx="2">
                  <c:v>E.3</c:v>
                </c:pt>
                <c:pt idx="3">
                  <c:v>E.4</c:v>
                </c:pt>
                <c:pt idx="4">
                  <c:v>E.5</c:v>
                </c:pt>
                <c:pt idx="5">
                  <c:v>E.6</c:v>
                </c:pt>
                <c:pt idx="6">
                  <c:v>E</c:v>
                </c:pt>
                <c:pt idx="7">
                  <c:v>F.1</c:v>
                </c:pt>
              </c:strCache>
            </c:strRef>
          </c:cat>
          <c:val>
            <c:numRef>
              <c:f>'SYNTHE AUTO EVA'!$W$10:$AB$10</c:f>
              <c:numCache>
                <c:formatCode>0%</c:formatCode>
                <c:ptCount val="6"/>
                <c:pt idx="0">
                  <c:v>1</c:v>
                </c:pt>
                <c:pt idx="1">
                  <c:v>1</c:v>
                </c:pt>
                <c:pt idx="2">
                  <c:v>1</c:v>
                </c:pt>
                <c:pt idx="3">
                  <c:v>0</c:v>
                </c:pt>
                <c:pt idx="4">
                  <c:v>1</c:v>
                </c:pt>
                <c:pt idx="5">
                  <c:v>1</c:v>
                </c:pt>
              </c:numCache>
            </c:numRef>
          </c:val>
        </c:ser>
        <c:dLbls>
          <c:showLegendKey val="0"/>
          <c:showVal val="0"/>
          <c:showCatName val="0"/>
          <c:showSerName val="0"/>
          <c:showPercent val="0"/>
          <c:showBubbleSize val="0"/>
        </c:dLbls>
        <c:gapWidth val="150"/>
        <c:overlap val="100"/>
        <c:axId val="94246400"/>
        <c:axId val="94247936"/>
      </c:barChart>
      <c:catAx>
        <c:axId val="94246400"/>
        <c:scaling>
          <c:orientation val="minMax"/>
        </c:scaling>
        <c:delete val="0"/>
        <c:axPos val="b"/>
        <c:numFmt formatCode="General" sourceLinked="1"/>
        <c:majorTickMark val="none"/>
        <c:minorTickMark val="none"/>
        <c:tickLblPos val="nextTo"/>
        <c:crossAx val="94247936"/>
        <c:crosses val="autoZero"/>
        <c:auto val="1"/>
        <c:lblAlgn val="ctr"/>
        <c:lblOffset val="100"/>
        <c:noMultiLvlLbl val="0"/>
      </c:catAx>
      <c:valAx>
        <c:axId val="94247936"/>
        <c:scaling>
          <c:orientation val="minMax"/>
        </c:scaling>
        <c:delete val="1"/>
        <c:axPos val="l"/>
        <c:numFmt formatCode="0%" sourceLinked="1"/>
        <c:majorTickMark val="none"/>
        <c:minorTickMark val="none"/>
        <c:tickLblPos val="none"/>
        <c:crossAx val="9424640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Graphe 3.3.1.</a:t>
            </a:r>
            <a:r>
              <a:rPr lang="en-US" sz="1200" baseline="0">
                <a:latin typeface="Arial Narrow" pitchFamily="34" charset="0"/>
              </a:rPr>
              <a:t> </a:t>
            </a:r>
            <a:r>
              <a:rPr lang="en-US" sz="1200" b="0">
                <a:latin typeface="Arial Narrow" pitchFamily="34" charset="0"/>
              </a:rPr>
              <a:t>Performance moyenne Capacités</a:t>
            </a:r>
            <a:r>
              <a:rPr lang="en-US" sz="1200" b="0" baseline="0">
                <a:latin typeface="Arial Narrow" pitchFamily="34" charset="0"/>
              </a:rPr>
              <a:t> stratégiques</a:t>
            </a:r>
            <a:endParaRPr lang="en-US" sz="1200" b="0">
              <a:latin typeface="Arial Narrow" pitchFamily="34" charset="0"/>
            </a:endParaRPr>
          </a:p>
        </c:rich>
      </c:tx>
      <c:layout/>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FFFF00"/>
            </a:solidFill>
          </c:spPr>
          <c:invertIfNegative val="0"/>
          <c:cat>
            <c:multiLvlStrRef>
              <c:f>'SYNTHE AUTO EVA'!$AD$2:$AG$3</c:f>
              <c:multiLvlStrCache>
                <c:ptCount val="4"/>
                <c:lvl>
                  <c:pt idx="0">
                    <c:v>INFORMATION DES MEMBRES</c:v>
                  </c:pt>
                  <c:pt idx="1">
                    <c:v>REPRESENTATION</c:v>
                  </c:pt>
                  <c:pt idx="2">
                    <c:v>RECONTRE D'ECHANGE D'INFORMATIONS</c:v>
                  </c:pt>
                  <c:pt idx="3">
                    <c:v>CAPACITE STRATEGIQUES</c:v>
                  </c:pt>
                </c:lvl>
                <c:lvl>
                  <c:pt idx="0">
                    <c:v>F.1</c:v>
                  </c:pt>
                  <c:pt idx="1">
                    <c:v>F.2</c:v>
                  </c:pt>
                  <c:pt idx="2">
                    <c:v>F.3</c:v>
                  </c:pt>
                  <c:pt idx="3">
                    <c:v>F</c:v>
                  </c:pt>
                </c:lvl>
              </c:multiLvlStrCache>
            </c:multiLvlStrRef>
          </c:cat>
          <c:val>
            <c:numRef>
              <c:f>'SYNTHE AUTO EVA'!$AD$11:$AG$11</c:f>
              <c:numCache>
                <c:formatCode>0.00</c:formatCode>
                <c:ptCount val="4"/>
                <c:pt idx="0">
                  <c:v>1.6666666666666667</c:v>
                </c:pt>
                <c:pt idx="1">
                  <c:v>1.6666666666666667</c:v>
                </c:pt>
                <c:pt idx="2">
                  <c:v>1.5333333333333334</c:v>
                </c:pt>
                <c:pt idx="3">
                  <c:v>1.622222222222222</c:v>
                </c:pt>
              </c:numCache>
            </c:numRef>
          </c:val>
        </c:ser>
        <c:dLbls>
          <c:showLegendKey val="0"/>
          <c:showVal val="0"/>
          <c:showCatName val="0"/>
          <c:showSerName val="0"/>
          <c:showPercent val="0"/>
          <c:showBubbleSize val="0"/>
        </c:dLbls>
        <c:gapWidth val="150"/>
        <c:axId val="94273920"/>
        <c:axId val="94275456"/>
      </c:barChart>
      <c:catAx>
        <c:axId val="94273920"/>
        <c:scaling>
          <c:orientation val="minMax"/>
        </c:scaling>
        <c:delete val="0"/>
        <c:axPos val="b"/>
        <c:numFmt formatCode="General" sourceLinked="1"/>
        <c:majorTickMark val="out"/>
        <c:minorTickMark val="none"/>
        <c:tickLblPos val="nextTo"/>
        <c:crossAx val="94275456"/>
        <c:crosses val="autoZero"/>
        <c:auto val="1"/>
        <c:lblAlgn val="ctr"/>
        <c:lblOffset val="100"/>
        <c:noMultiLvlLbl val="0"/>
      </c:catAx>
      <c:valAx>
        <c:axId val="94275456"/>
        <c:scaling>
          <c:orientation val="minMax"/>
          <c:max val="3"/>
          <c:min val="0"/>
        </c:scaling>
        <c:delete val="0"/>
        <c:axPos val="l"/>
        <c:majorGridlines/>
        <c:numFmt formatCode="0.00" sourceLinked="1"/>
        <c:majorTickMark val="out"/>
        <c:minorTickMark val="none"/>
        <c:tickLblPos val="nextTo"/>
        <c:crossAx val="94273920"/>
        <c:crosses val="autoZero"/>
        <c:crossBetween val="between"/>
        <c:majorUnit val="0.75000000000000222"/>
        <c:minorUnit val="1.0000000000000005E-2"/>
      </c:valAx>
    </c:plotArea>
    <c:plotVisOnly val="1"/>
    <c:dispBlanksAs val="gap"/>
    <c:showDLblsOverMax val="0"/>
  </c:chart>
  <c:printSettings>
    <c:headerFooter/>
    <c:pageMargins b="0.750000000000005" l="0.70000000000000062" r="0.70000000000000062" t="0.75000000000000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b="1" i="0" baseline="0">
                <a:latin typeface="Arial Narrow" pitchFamily="34" charset="0"/>
              </a:rPr>
              <a:t>Graphe 3.3.1.: </a:t>
            </a:r>
            <a:r>
              <a:rPr lang="en-US" sz="1200" b="0" i="0" baseline="0">
                <a:latin typeface="Arial Narrow" pitchFamily="34" charset="0"/>
              </a:rPr>
              <a:t>Répartition CVPC suivant performance moyenne représentation et défense des intérêts selon différents critères</a:t>
            </a:r>
          </a:p>
        </c:rich>
      </c:tx>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strRef>
              <c:f>'SYNTHE AUTO EVA'!$AD$2:$AF$2</c:f>
              <c:strCache>
                <c:ptCount val="3"/>
                <c:pt idx="0">
                  <c:v>F.1</c:v>
                </c:pt>
                <c:pt idx="1">
                  <c:v>F.2</c:v>
                </c:pt>
                <c:pt idx="2">
                  <c:v>F.3</c:v>
                </c:pt>
              </c:strCache>
            </c:strRef>
          </c:cat>
          <c:val>
            <c:numRef>
              <c:f>'SYNTHE AUTO EVA'!$AD$8:$AF$8</c:f>
              <c:numCache>
                <c:formatCode>0%</c:formatCode>
                <c:ptCount val="3"/>
                <c:pt idx="0">
                  <c:v>0.33333333333333331</c:v>
                </c:pt>
                <c:pt idx="1">
                  <c:v>0.33333333333333331</c:v>
                </c:pt>
                <c:pt idx="2">
                  <c:v>0.46666666666666667</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strRef>
              <c:f>'SYNTHE AUTO EVA'!$AD$2:$AF$2</c:f>
              <c:strCache>
                <c:ptCount val="3"/>
                <c:pt idx="0">
                  <c:v>F.1</c:v>
                </c:pt>
                <c:pt idx="1">
                  <c:v>F.2</c:v>
                </c:pt>
                <c:pt idx="2">
                  <c:v>F.3</c:v>
                </c:pt>
              </c:strCache>
            </c:strRef>
          </c:cat>
          <c:val>
            <c:numRef>
              <c:f>'SYNTHE AUTO EVA'!$AD$9:$AF$9</c:f>
              <c:numCache>
                <c:formatCode>0%</c:formatCode>
                <c:ptCount val="3"/>
                <c:pt idx="0">
                  <c:v>0.66666666666666663</c:v>
                </c:pt>
                <c:pt idx="1">
                  <c:v>0.66666666666666663</c:v>
                </c:pt>
                <c:pt idx="2">
                  <c:v>0.53333333333333333</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EVA'!$AD$2:$AF$2</c:f>
              <c:strCache>
                <c:ptCount val="3"/>
                <c:pt idx="0">
                  <c:v>F.1</c:v>
                </c:pt>
                <c:pt idx="1">
                  <c:v>F.2</c:v>
                </c:pt>
                <c:pt idx="2">
                  <c:v>F.3</c:v>
                </c:pt>
              </c:strCache>
            </c:strRef>
          </c:cat>
          <c:val>
            <c:numRef>
              <c:f>'SYNTHE AUTO EVA'!$AD$10:$AF$10</c:f>
              <c:numCache>
                <c:formatCode>0%</c:formatCode>
                <c:ptCount val="3"/>
                <c:pt idx="0">
                  <c:v>0</c:v>
                </c:pt>
                <c:pt idx="1">
                  <c:v>0</c:v>
                </c:pt>
                <c:pt idx="2">
                  <c:v>0</c:v>
                </c:pt>
              </c:numCache>
            </c:numRef>
          </c:val>
        </c:ser>
        <c:dLbls>
          <c:showLegendKey val="0"/>
          <c:showVal val="0"/>
          <c:showCatName val="0"/>
          <c:showSerName val="0"/>
          <c:showPercent val="0"/>
          <c:showBubbleSize val="0"/>
        </c:dLbls>
        <c:gapWidth val="150"/>
        <c:overlap val="100"/>
        <c:axId val="94338048"/>
        <c:axId val="94339840"/>
      </c:barChart>
      <c:catAx>
        <c:axId val="94338048"/>
        <c:scaling>
          <c:orientation val="minMax"/>
        </c:scaling>
        <c:delete val="0"/>
        <c:axPos val="b"/>
        <c:numFmt formatCode="General" sourceLinked="1"/>
        <c:majorTickMark val="none"/>
        <c:minorTickMark val="none"/>
        <c:tickLblPos val="nextTo"/>
        <c:crossAx val="94339840"/>
        <c:crosses val="autoZero"/>
        <c:auto val="1"/>
        <c:lblAlgn val="ctr"/>
        <c:lblOffset val="100"/>
        <c:noMultiLvlLbl val="0"/>
      </c:catAx>
      <c:valAx>
        <c:axId val="94339840"/>
        <c:scaling>
          <c:orientation val="minMax"/>
        </c:scaling>
        <c:delete val="1"/>
        <c:axPos val="l"/>
        <c:numFmt formatCode="0%" sourceLinked="1"/>
        <c:majorTickMark val="none"/>
        <c:minorTickMark val="none"/>
        <c:tickLblPos val="none"/>
        <c:crossAx val="9433804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Narrow" pitchFamily="34" charset="0"/>
              </a:defRPr>
            </a:pPr>
            <a:r>
              <a:rPr lang="fr-FR" sz="1100" b="1">
                <a:latin typeface="Arial Narrow" pitchFamily="34" charset="0"/>
              </a:rPr>
              <a:t>Graphique </a:t>
            </a:r>
            <a:r>
              <a:rPr lang="fr-FR" sz="1100" b="1" baseline="0">
                <a:latin typeface="Arial Narrow" pitchFamily="34" charset="0"/>
              </a:rPr>
              <a:t>: </a:t>
            </a:r>
            <a:r>
              <a:rPr lang="fr-FR" sz="1100" b="0">
                <a:latin typeface="Arial Narrow" pitchFamily="34" charset="0"/>
              </a:rPr>
              <a:t>Répartition</a:t>
            </a:r>
            <a:r>
              <a:rPr lang="fr-FR" sz="1100" b="0" baseline="0">
                <a:latin typeface="Arial Narrow" pitchFamily="34" charset="0"/>
              </a:rPr>
              <a:t> des CVPC suivant classe de performance par domaine</a:t>
            </a:r>
            <a:endParaRPr lang="fr-FR" sz="1100" b="0">
              <a:latin typeface="Arial Narrow" pitchFamily="34" charset="0"/>
            </a:endParaRPr>
          </a:p>
        </c:rich>
      </c:tx>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multiLvlStrRef>
              <c:f>('SYNTHE AUTO EVA'!$I$2:$I$3,'SYNTHE AUTO EVA'!$M$2:$M$3,'SYNTHE AUTO EVA'!$Q$2:$Q$3,'SYNTHE AUTO EVA'!$V$2:$V$3,'SYNTHE AUTO EVA'!$AC$2:$AC$3,'SYNTHE AUTO EVA'!$AG$2:$AG$3)</c:f>
              <c:multiLvlStrCache>
                <c:ptCount val="6"/>
                <c:lvl>
                  <c:pt idx="0">
                    <c:v>GOUVERNANCE</c:v>
                  </c:pt>
                  <c:pt idx="1">
                    <c:v>GESTION DES RESSOURCES</c:v>
                  </c:pt>
                  <c:pt idx="2">
                    <c:v>GESTION DU CREDIT</c:v>
                  </c:pt>
                  <c:pt idx="3">
                    <c:v>GESTION DES INTRANTS</c:v>
                  </c:pt>
                  <c:pt idx="4">
                    <c:v>COMMERCIALISATION</c:v>
                  </c:pt>
                  <c:pt idx="5">
                    <c:v>CAPACITE STRATEGIQUES</c:v>
                  </c:pt>
                </c:lvl>
                <c:lvl>
                  <c:pt idx="0">
                    <c:v>A</c:v>
                  </c:pt>
                  <c:pt idx="1">
                    <c:v>B</c:v>
                  </c:pt>
                  <c:pt idx="2">
                    <c:v>C</c:v>
                  </c:pt>
                  <c:pt idx="3">
                    <c:v> D</c:v>
                  </c:pt>
                  <c:pt idx="4">
                    <c:v>E</c:v>
                  </c:pt>
                  <c:pt idx="5">
                    <c:v>F</c:v>
                  </c:pt>
                </c:lvl>
              </c:multiLvlStrCache>
            </c:multiLvlStrRef>
          </c:cat>
          <c:val>
            <c:numRef>
              <c:f>('SYNTHE AUTO EVA'!$I$8,'SYNTHE AUTO EVA'!$M$8,'SYNTHE AUTO EVA'!$Q$8,'SYNTHE AUTO EVA'!$V$8,'SYNTHE AUTO EVA'!$AC$8,'SYNTHE AUTO EVA'!$AG$8)</c:f>
              <c:numCache>
                <c:formatCode>0%</c:formatCode>
                <c:ptCount val="6"/>
                <c:pt idx="0">
                  <c:v>0.2</c:v>
                </c:pt>
                <c:pt idx="1">
                  <c:v>0</c:v>
                </c:pt>
                <c:pt idx="2">
                  <c:v>0</c:v>
                </c:pt>
                <c:pt idx="3">
                  <c:v>0</c:v>
                </c:pt>
                <c:pt idx="4">
                  <c:v>0</c:v>
                </c:pt>
                <c:pt idx="5">
                  <c:v>0.46666666666666667</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multiLvlStrRef>
              <c:f>('SYNTHE AUTO EVA'!$I$2:$I$3,'SYNTHE AUTO EVA'!$M$2:$M$3,'SYNTHE AUTO EVA'!$Q$2:$Q$3,'SYNTHE AUTO EVA'!$V$2:$V$3,'SYNTHE AUTO EVA'!$AC$2:$AC$3,'SYNTHE AUTO EVA'!$AG$2:$AG$3)</c:f>
              <c:multiLvlStrCache>
                <c:ptCount val="6"/>
                <c:lvl>
                  <c:pt idx="0">
                    <c:v>GOUVERNANCE</c:v>
                  </c:pt>
                  <c:pt idx="1">
                    <c:v>GESTION DES RESSOURCES</c:v>
                  </c:pt>
                  <c:pt idx="2">
                    <c:v>GESTION DU CREDIT</c:v>
                  </c:pt>
                  <c:pt idx="3">
                    <c:v>GESTION DES INTRANTS</c:v>
                  </c:pt>
                  <c:pt idx="4">
                    <c:v>COMMERCIALISATION</c:v>
                  </c:pt>
                  <c:pt idx="5">
                    <c:v>CAPACITE STRATEGIQUES</c:v>
                  </c:pt>
                </c:lvl>
                <c:lvl>
                  <c:pt idx="0">
                    <c:v>A</c:v>
                  </c:pt>
                  <c:pt idx="1">
                    <c:v>B</c:v>
                  </c:pt>
                  <c:pt idx="2">
                    <c:v>C</c:v>
                  </c:pt>
                  <c:pt idx="3">
                    <c:v> D</c:v>
                  </c:pt>
                  <c:pt idx="4">
                    <c:v>E</c:v>
                  </c:pt>
                  <c:pt idx="5">
                    <c:v>F</c:v>
                  </c:pt>
                </c:lvl>
              </c:multiLvlStrCache>
            </c:multiLvlStrRef>
          </c:cat>
          <c:val>
            <c:numRef>
              <c:f>('SYNTHE AUTO EVA'!$I$9,'SYNTHE AUTO EVA'!$M$9,'SYNTHE AUTO EVA'!$Q$9,'SYNTHE AUTO EVA'!$V$9,'SYNTHE AUTO EVA'!$AC$9,'SYNTHE AUTO EVA'!$AG$9)</c:f>
              <c:numCache>
                <c:formatCode>0%</c:formatCode>
                <c:ptCount val="6"/>
                <c:pt idx="0">
                  <c:v>0.73333333333333328</c:v>
                </c:pt>
                <c:pt idx="1">
                  <c:v>0.53333333333333333</c:v>
                </c:pt>
                <c:pt idx="2">
                  <c:v>0.13333333333333333</c:v>
                </c:pt>
                <c:pt idx="3">
                  <c:v>0</c:v>
                </c:pt>
                <c:pt idx="4">
                  <c:v>0</c:v>
                </c:pt>
                <c:pt idx="5">
                  <c:v>0.53333333333333333</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multiLvlStrRef>
              <c:f>('SYNTHE AUTO EVA'!$I$2:$I$3,'SYNTHE AUTO EVA'!$M$2:$M$3,'SYNTHE AUTO EVA'!$Q$2:$Q$3,'SYNTHE AUTO EVA'!$V$2:$V$3,'SYNTHE AUTO EVA'!$AC$2:$AC$3,'SYNTHE AUTO EVA'!$AG$2:$AG$3)</c:f>
              <c:multiLvlStrCache>
                <c:ptCount val="6"/>
                <c:lvl>
                  <c:pt idx="0">
                    <c:v>GOUVERNANCE</c:v>
                  </c:pt>
                  <c:pt idx="1">
                    <c:v>GESTION DES RESSOURCES</c:v>
                  </c:pt>
                  <c:pt idx="2">
                    <c:v>GESTION DU CREDIT</c:v>
                  </c:pt>
                  <c:pt idx="3">
                    <c:v>GESTION DES INTRANTS</c:v>
                  </c:pt>
                  <c:pt idx="4">
                    <c:v>COMMERCIALISATION</c:v>
                  </c:pt>
                  <c:pt idx="5">
                    <c:v>CAPACITE STRATEGIQUES</c:v>
                  </c:pt>
                </c:lvl>
                <c:lvl>
                  <c:pt idx="0">
                    <c:v>A</c:v>
                  </c:pt>
                  <c:pt idx="1">
                    <c:v>B</c:v>
                  </c:pt>
                  <c:pt idx="2">
                    <c:v>C</c:v>
                  </c:pt>
                  <c:pt idx="3">
                    <c:v> D</c:v>
                  </c:pt>
                  <c:pt idx="4">
                    <c:v>E</c:v>
                  </c:pt>
                  <c:pt idx="5">
                    <c:v>F</c:v>
                  </c:pt>
                </c:lvl>
              </c:multiLvlStrCache>
            </c:multiLvlStrRef>
          </c:cat>
          <c:val>
            <c:numRef>
              <c:f>('SYNTHE AUTO EVA'!$I$10,'SYNTHE AUTO EVA'!$M$10,'SYNTHE AUTO EVA'!$Q$10,'SYNTHE AUTO EVA'!$V$10,'SYNTHE AUTO EVA'!$AC$10,'SYNTHE AUTO EVA'!$AG$10)</c:f>
              <c:numCache>
                <c:formatCode>0%</c:formatCode>
                <c:ptCount val="6"/>
                <c:pt idx="0">
                  <c:v>6.6666666666666666E-2</c:v>
                </c:pt>
                <c:pt idx="1">
                  <c:v>0.46666666666666667</c:v>
                </c:pt>
                <c:pt idx="2">
                  <c:v>0.8666666666666667</c:v>
                </c:pt>
                <c:pt idx="3">
                  <c:v>1</c:v>
                </c:pt>
                <c:pt idx="4">
                  <c:v>1</c:v>
                </c:pt>
                <c:pt idx="5">
                  <c:v>0</c:v>
                </c:pt>
              </c:numCache>
            </c:numRef>
          </c:val>
        </c:ser>
        <c:dLbls>
          <c:showLegendKey val="0"/>
          <c:showVal val="0"/>
          <c:showCatName val="0"/>
          <c:showSerName val="0"/>
          <c:showPercent val="0"/>
          <c:showBubbleSize val="0"/>
        </c:dLbls>
        <c:gapWidth val="150"/>
        <c:overlap val="100"/>
        <c:axId val="93979392"/>
        <c:axId val="93980928"/>
      </c:barChart>
      <c:catAx>
        <c:axId val="93979392"/>
        <c:scaling>
          <c:orientation val="minMax"/>
        </c:scaling>
        <c:delete val="0"/>
        <c:axPos val="b"/>
        <c:majorTickMark val="none"/>
        <c:minorTickMark val="none"/>
        <c:tickLblPos val="nextTo"/>
        <c:crossAx val="93980928"/>
        <c:crosses val="autoZero"/>
        <c:auto val="1"/>
        <c:lblAlgn val="ctr"/>
        <c:lblOffset val="100"/>
        <c:noMultiLvlLbl val="0"/>
      </c:catAx>
      <c:valAx>
        <c:axId val="93980928"/>
        <c:scaling>
          <c:orientation val="minMax"/>
          <c:max val="1"/>
          <c:min val="0"/>
        </c:scaling>
        <c:delete val="0"/>
        <c:axPos val="l"/>
        <c:majorGridlines>
          <c:spPr>
            <a:ln w="25400">
              <a:solidFill>
                <a:sysClr val="windowText" lastClr="000000">
                  <a:tint val="75000"/>
                  <a:shade val="95000"/>
                  <a:satMod val="105000"/>
                </a:sysClr>
              </a:solidFill>
            </a:ln>
          </c:spPr>
        </c:majorGridlines>
        <c:title>
          <c:tx>
            <c:rich>
              <a:bodyPr/>
              <a:lstStyle/>
              <a:p>
                <a:pPr>
                  <a:defRPr/>
                </a:pPr>
                <a:r>
                  <a:rPr lang="fr-FR"/>
                  <a:t>Pourcentage</a:t>
                </a:r>
                <a:r>
                  <a:rPr lang="fr-FR" baseline="0"/>
                  <a:t> de  CVPC</a:t>
                </a:r>
                <a:endParaRPr lang="fr-FR"/>
              </a:p>
            </c:rich>
          </c:tx>
          <c:layout>
            <c:manualLayout>
              <c:xMode val="edge"/>
              <c:yMode val="edge"/>
              <c:x val="0.24237827937702494"/>
              <c:y val="9.483399844328011E-2"/>
            </c:manualLayout>
          </c:layout>
          <c:overlay val="0"/>
        </c:title>
        <c:numFmt formatCode="0%" sourceLinked="1"/>
        <c:majorTickMark val="none"/>
        <c:minorTickMark val="none"/>
        <c:tickLblPos val="nextTo"/>
        <c:crossAx val="93979392"/>
        <c:crosses val="autoZero"/>
        <c:crossBetween val="between"/>
        <c:majorUnit val="0.1"/>
        <c:minorUnit val="2.0000000000000011E-2"/>
      </c:valAx>
      <c:dTable>
        <c:showHorzBorder val="1"/>
        <c:showVertBorder val="1"/>
        <c:showOutline val="1"/>
        <c:showKeys val="1"/>
      </c:dTable>
    </c:plotArea>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PERFORMANCE MOYENNE PAR DOMAINE</a:t>
            </a:r>
          </a:p>
        </c:rich>
      </c:tx>
      <c:overlay val="0"/>
    </c:title>
    <c:autoTitleDeleted val="0"/>
    <c:plotArea>
      <c:layout/>
      <c:barChart>
        <c:barDir val="col"/>
        <c:grouping val="clustered"/>
        <c:varyColors val="0"/>
        <c:ser>
          <c:idx val="0"/>
          <c:order val="0"/>
          <c:tx>
            <c:v>PERFORMANCE MOYENNE PAR DOMAINE</c:v>
          </c:tx>
          <c:spPr>
            <a:solidFill>
              <a:srgbClr val="002060">
                <a:alpha val="40000"/>
              </a:srgbClr>
            </a:solidFill>
          </c:spPr>
          <c:invertIfNegative val="0"/>
          <c:dPt>
            <c:idx val="0"/>
            <c:invertIfNegative val="0"/>
            <c:bubble3D val="0"/>
            <c:spPr>
              <a:solidFill>
                <a:srgbClr val="FFFF00">
                  <a:alpha val="40000"/>
                </a:srgbClr>
              </a:solidFill>
            </c:spPr>
          </c:dPt>
          <c:dPt>
            <c:idx val="1"/>
            <c:invertIfNegative val="0"/>
            <c:bubble3D val="0"/>
            <c:spPr>
              <a:solidFill>
                <a:srgbClr val="FF0000">
                  <a:alpha val="40000"/>
                </a:srgbClr>
              </a:solidFill>
            </c:spPr>
          </c:dPt>
          <c:dPt>
            <c:idx val="2"/>
            <c:invertIfNegative val="0"/>
            <c:bubble3D val="0"/>
            <c:spPr>
              <a:solidFill>
                <a:srgbClr val="FF0000">
                  <a:alpha val="40000"/>
                </a:srgbClr>
              </a:solidFill>
            </c:spPr>
          </c:dPt>
          <c:dPt>
            <c:idx val="3"/>
            <c:invertIfNegative val="0"/>
            <c:bubble3D val="0"/>
            <c:spPr>
              <a:solidFill>
                <a:srgbClr val="FFFF00">
                  <a:alpha val="40000"/>
                </a:srgbClr>
              </a:solidFill>
            </c:spPr>
          </c:dPt>
          <c:dPt>
            <c:idx val="4"/>
            <c:invertIfNegative val="0"/>
            <c:bubble3D val="0"/>
            <c:spPr>
              <a:solidFill>
                <a:srgbClr val="00B050">
                  <a:alpha val="40000"/>
                </a:srgbClr>
              </a:solidFill>
            </c:spPr>
          </c:dPt>
          <c:cat>
            <c:strRef>
              <c:f>('SYNTHE AUTO EVA'!$I$3,'SYNTHE AUTO EVA'!$M$3,'SYNTHE AUTO EVA'!$Q$3,'SYNTHE AUTO EVA'!$V$3,'SYNTHE AUTO EVA'!$AC$3,'SYNTHE AUTO EVA'!$AG$3)</c:f>
              <c:strCache>
                <c:ptCount val="6"/>
                <c:pt idx="0">
                  <c:v>GOUVERNANCE</c:v>
                </c:pt>
                <c:pt idx="1">
                  <c:v>GESTION DES RESSOURCES</c:v>
                </c:pt>
                <c:pt idx="2">
                  <c:v>GESTION DU CREDIT</c:v>
                </c:pt>
                <c:pt idx="3">
                  <c:v>GESTION DES INTRANTS</c:v>
                </c:pt>
                <c:pt idx="4">
                  <c:v>COMMERCIALISATION</c:v>
                </c:pt>
                <c:pt idx="5">
                  <c:v>CAPACITE STRATEGIQUES</c:v>
                </c:pt>
              </c:strCache>
            </c:strRef>
          </c:cat>
          <c:val>
            <c:numRef>
              <c:f>('SYNTHE AUTO EVA'!$I$11,'SYNTHE AUTO EVA'!$M$11,'SYNTHE AUTO EVA'!$Q$11,'SYNTHE AUTO EVA'!$V$11,'SYNTHE AUTO EVA'!$AC$11,'SYNTHE AUTO EVA'!$AG$11)</c:f>
              <c:numCache>
                <c:formatCode>0.00</c:formatCode>
                <c:ptCount val="6"/>
                <c:pt idx="0">
                  <c:v>1.711111111111111</c:v>
                </c:pt>
                <c:pt idx="1">
                  <c:v>2.1333333333333333</c:v>
                </c:pt>
                <c:pt idx="2">
                  <c:v>2.2888888888888888</c:v>
                </c:pt>
                <c:pt idx="3">
                  <c:v>2.5499999999999998</c:v>
                </c:pt>
                <c:pt idx="4">
                  <c:v>2.7333333333333343</c:v>
                </c:pt>
                <c:pt idx="5">
                  <c:v>1.622222222222222</c:v>
                </c:pt>
              </c:numCache>
            </c:numRef>
          </c:val>
        </c:ser>
        <c:dLbls>
          <c:showLegendKey val="0"/>
          <c:showVal val="0"/>
          <c:showCatName val="0"/>
          <c:showSerName val="0"/>
          <c:showPercent val="0"/>
          <c:showBubbleSize val="0"/>
        </c:dLbls>
        <c:gapWidth val="150"/>
        <c:axId val="91515136"/>
        <c:axId val="91521024"/>
      </c:barChart>
      <c:catAx>
        <c:axId val="91515136"/>
        <c:scaling>
          <c:orientation val="minMax"/>
        </c:scaling>
        <c:delete val="0"/>
        <c:axPos val="b"/>
        <c:numFmt formatCode="General" sourceLinked="1"/>
        <c:majorTickMark val="out"/>
        <c:minorTickMark val="none"/>
        <c:tickLblPos val="nextTo"/>
        <c:crossAx val="91521024"/>
        <c:crosses val="autoZero"/>
        <c:auto val="1"/>
        <c:lblAlgn val="ctr"/>
        <c:lblOffset val="100"/>
        <c:noMultiLvlLbl val="0"/>
      </c:catAx>
      <c:valAx>
        <c:axId val="91521024"/>
        <c:scaling>
          <c:orientation val="minMax"/>
          <c:max val="3"/>
          <c:min val="0"/>
        </c:scaling>
        <c:delete val="0"/>
        <c:axPos val="l"/>
        <c:majorGridlines/>
        <c:numFmt formatCode="0.00" sourceLinked="1"/>
        <c:majorTickMark val="out"/>
        <c:minorTickMark val="out"/>
        <c:tickLblPos val="nextTo"/>
        <c:crossAx val="91515136"/>
        <c:crosses val="autoZero"/>
        <c:crossBetween val="between"/>
        <c:majorUnit val="0.75000000000000344"/>
        <c:minorUnit val="0.25"/>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fr-FR" sz="1400">
                <a:latin typeface="Arial Narrow" pitchFamily="34" charset="0"/>
              </a:rPr>
              <a:t>PROPORTION DES </a:t>
            </a:r>
            <a:r>
              <a:rPr lang="fr-FR" sz="1400" baseline="0">
                <a:latin typeface="Arial Narrow" pitchFamily="34" charset="0"/>
              </a:rPr>
              <a:t>CVPC SUIVANT PERFORMANCE PAR DOMAINE</a:t>
            </a:r>
            <a:endParaRPr lang="fr-FR" sz="1400">
              <a:latin typeface="Arial Narrow" pitchFamily="34" charset="0"/>
            </a:endParaRPr>
          </a:p>
        </c:rich>
      </c:tx>
      <c:overlay val="0"/>
    </c:title>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40000"/>
              </a:srgbClr>
            </a:solidFill>
          </c:spPr>
          <c:invertIfNegative val="0"/>
          <c:cat>
            <c:strRef>
              <c:f>('SYNTHE AUTO EVA'!$I$3,'SYNTHE AUTO EVA'!$M$3,'SYNTHE AUTO EVA'!$Q$3,'SYNTHE AUTO EVA'!$V$3,'SYNTHE AUTO EVA'!$AC$3,'SYNTHE AUTO EVA'!$AG$3)</c:f>
              <c:strCache>
                <c:ptCount val="6"/>
                <c:pt idx="0">
                  <c:v>GOUVERNANCE</c:v>
                </c:pt>
                <c:pt idx="1">
                  <c:v>GESTION DES RESSOURCES</c:v>
                </c:pt>
                <c:pt idx="2">
                  <c:v>GESTION DU CREDIT</c:v>
                </c:pt>
                <c:pt idx="3">
                  <c:v>GESTION DES INTRANTS</c:v>
                </c:pt>
                <c:pt idx="4">
                  <c:v>COMMERCIALISATION</c:v>
                </c:pt>
                <c:pt idx="5">
                  <c:v>CAPACITE STRATEGIQUES</c:v>
                </c:pt>
              </c:strCache>
            </c:strRef>
          </c:cat>
          <c:val>
            <c:numRef>
              <c:f>('SYNTHE AUTO EVA'!$I$8,'SYNTHE AUTO EVA'!$M$8,'SYNTHE AUTO EVA'!$Q$8,'SYNTHE AUTO EVA'!$V$8,'SYNTHE AUTO EVA'!$AC$8,'SYNTHE AUTO EVA'!$AG$8)</c:f>
              <c:numCache>
                <c:formatCode>0%</c:formatCode>
                <c:ptCount val="6"/>
                <c:pt idx="0">
                  <c:v>0.2</c:v>
                </c:pt>
                <c:pt idx="1">
                  <c:v>0</c:v>
                </c:pt>
                <c:pt idx="2">
                  <c:v>0</c:v>
                </c:pt>
                <c:pt idx="3">
                  <c:v>0</c:v>
                </c:pt>
                <c:pt idx="4">
                  <c:v>0</c:v>
                </c:pt>
                <c:pt idx="5">
                  <c:v>0.46666666666666667</c:v>
                </c:pt>
              </c:numCache>
            </c:numRef>
          </c:val>
        </c:ser>
        <c:ser>
          <c:idx val="1"/>
          <c:order val="1"/>
          <c:tx>
            <c:strRef>
              <c:f>'SYNTHE AUTO EVA'!$A$9</c:f>
              <c:strCache>
                <c:ptCount val="1"/>
                <c:pt idx="0">
                  <c:v>% de CVPC ayant une performance moyenne (++)</c:v>
                </c:pt>
              </c:strCache>
            </c:strRef>
          </c:tx>
          <c:spPr>
            <a:solidFill>
              <a:srgbClr val="FFFF00">
                <a:alpha val="39000"/>
              </a:srgbClr>
            </a:solidFill>
          </c:spPr>
          <c:invertIfNegative val="0"/>
          <c:cat>
            <c:strRef>
              <c:f>('SYNTHE AUTO EVA'!$I$3,'SYNTHE AUTO EVA'!$M$3,'SYNTHE AUTO EVA'!$Q$3,'SYNTHE AUTO EVA'!$V$3,'SYNTHE AUTO EVA'!$AC$3,'SYNTHE AUTO EVA'!$AG$3)</c:f>
              <c:strCache>
                <c:ptCount val="6"/>
                <c:pt idx="0">
                  <c:v>GOUVERNANCE</c:v>
                </c:pt>
                <c:pt idx="1">
                  <c:v>GESTION DES RESSOURCES</c:v>
                </c:pt>
                <c:pt idx="2">
                  <c:v>GESTION DU CREDIT</c:v>
                </c:pt>
                <c:pt idx="3">
                  <c:v>GESTION DES INTRANTS</c:v>
                </c:pt>
                <c:pt idx="4">
                  <c:v>COMMERCIALISATION</c:v>
                </c:pt>
                <c:pt idx="5">
                  <c:v>CAPACITE STRATEGIQUES</c:v>
                </c:pt>
              </c:strCache>
            </c:strRef>
          </c:cat>
          <c:val>
            <c:numRef>
              <c:f>('SYNTHE AUTO EVA'!$I$9,'SYNTHE AUTO EVA'!$M$9,'SYNTHE AUTO EVA'!$Q$9,'SYNTHE AUTO EVA'!$V$9,'SYNTHE AUTO EVA'!$AC$9,'SYNTHE AUTO EVA'!$AG$9)</c:f>
              <c:numCache>
                <c:formatCode>0%</c:formatCode>
                <c:ptCount val="6"/>
                <c:pt idx="0">
                  <c:v>0.73333333333333328</c:v>
                </c:pt>
                <c:pt idx="1">
                  <c:v>0.53333333333333333</c:v>
                </c:pt>
                <c:pt idx="2">
                  <c:v>0.13333333333333333</c:v>
                </c:pt>
                <c:pt idx="3">
                  <c:v>0</c:v>
                </c:pt>
                <c:pt idx="4">
                  <c:v>0</c:v>
                </c:pt>
                <c:pt idx="5">
                  <c:v>0.53333333333333333</c:v>
                </c:pt>
              </c:numCache>
            </c:numRef>
          </c:val>
        </c:ser>
        <c:ser>
          <c:idx val="2"/>
          <c:order val="2"/>
          <c:tx>
            <c:strRef>
              <c:f>'SYNTHE AUTO EVA'!$A$10</c:f>
              <c:strCache>
                <c:ptCount val="1"/>
                <c:pt idx="0">
                  <c:v>% de CVPC ayant une bonne performance (+++)</c:v>
                </c:pt>
              </c:strCache>
            </c:strRef>
          </c:tx>
          <c:spPr>
            <a:solidFill>
              <a:srgbClr val="00B050">
                <a:alpha val="40000"/>
              </a:srgbClr>
            </a:solidFill>
          </c:spPr>
          <c:invertIfNegative val="0"/>
          <c:cat>
            <c:strRef>
              <c:f>('SYNTHE AUTO EVA'!$I$3,'SYNTHE AUTO EVA'!$M$3,'SYNTHE AUTO EVA'!$Q$3,'SYNTHE AUTO EVA'!$V$3,'SYNTHE AUTO EVA'!$AC$3,'SYNTHE AUTO EVA'!$AG$3)</c:f>
              <c:strCache>
                <c:ptCount val="6"/>
                <c:pt idx="0">
                  <c:v>GOUVERNANCE</c:v>
                </c:pt>
                <c:pt idx="1">
                  <c:v>GESTION DES RESSOURCES</c:v>
                </c:pt>
                <c:pt idx="2">
                  <c:v>GESTION DU CREDIT</c:v>
                </c:pt>
                <c:pt idx="3">
                  <c:v>GESTION DES INTRANTS</c:v>
                </c:pt>
                <c:pt idx="4">
                  <c:v>COMMERCIALISATION</c:v>
                </c:pt>
                <c:pt idx="5">
                  <c:v>CAPACITE STRATEGIQUES</c:v>
                </c:pt>
              </c:strCache>
            </c:strRef>
          </c:cat>
          <c:val>
            <c:numRef>
              <c:f>('SYNTHE AUTO EVA'!$I$10,'SYNTHE AUTO EVA'!$M$10,'SYNTHE AUTO EVA'!$Q$10,'SYNTHE AUTO EVA'!$V$10,'SYNTHE AUTO EVA'!$AC$10,'SYNTHE AUTO EVA'!$AG$10)</c:f>
              <c:numCache>
                <c:formatCode>0%</c:formatCode>
                <c:ptCount val="6"/>
                <c:pt idx="0">
                  <c:v>6.6666666666666666E-2</c:v>
                </c:pt>
                <c:pt idx="1">
                  <c:v>0.46666666666666667</c:v>
                </c:pt>
                <c:pt idx="2">
                  <c:v>0.8666666666666667</c:v>
                </c:pt>
                <c:pt idx="3">
                  <c:v>1</c:v>
                </c:pt>
                <c:pt idx="4">
                  <c:v>1</c:v>
                </c:pt>
                <c:pt idx="5">
                  <c:v>0</c:v>
                </c:pt>
              </c:numCache>
            </c:numRef>
          </c:val>
        </c:ser>
        <c:dLbls>
          <c:showLegendKey val="0"/>
          <c:showVal val="0"/>
          <c:showCatName val="0"/>
          <c:showSerName val="0"/>
          <c:showPercent val="0"/>
          <c:showBubbleSize val="0"/>
        </c:dLbls>
        <c:gapWidth val="150"/>
        <c:axId val="91550848"/>
        <c:axId val="91552384"/>
      </c:barChart>
      <c:catAx>
        <c:axId val="91550848"/>
        <c:scaling>
          <c:orientation val="minMax"/>
        </c:scaling>
        <c:delete val="0"/>
        <c:axPos val="b"/>
        <c:numFmt formatCode="General" sourceLinked="1"/>
        <c:majorTickMark val="none"/>
        <c:minorTickMark val="none"/>
        <c:tickLblPos val="nextTo"/>
        <c:crossAx val="91552384"/>
        <c:crosses val="autoZero"/>
        <c:auto val="1"/>
        <c:lblAlgn val="ctr"/>
        <c:lblOffset val="100"/>
        <c:noMultiLvlLbl val="0"/>
      </c:catAx>
      <c:valAx>
        <c:axId val="91552384"/>
        <c:scaling>
          <c:orientation val="minMax"/>
          <c:max val="1"/>
          <c:min val="0"/>
        </c:scaling>
        <c:delete val="0"/>
        <c:axPos val="l"/>
        <c:majorGridlines/>
        <c:numFmt formatCode="0%" sourceLinked="1"/>
        <c:majorTickMark val="none"/>
        <c:minorTickMark val="none"/>
        <c:tickLblPos val="nextTo"/>
        <c:crossAx val="91550848"/>
        <c:crosses val="autoZero"/>
        <c:crossBetween val="between"/>
        <c:majorUnit val="0.2"/>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FFFF00">
                <a:alpha val="40000"/>
              </a:srgbClr>
            </a:solidFill>
          </c:spPr>
          <c:invertIfNegative val="0"/>
          <c:dPt>
            <c:idx val="1"/>
            <c:invertIfNegative val="0"/>
            <c:bubble3D val="0"/>
            <c:spPr>
              <a:solidFill>
                <a:srgbClr val="FF0000">
                  <a:alpha val="40000"/>
                </a:srgbClr>
              </a:solidFill>
            </c:spPr>
          </c:dPt>
          <c:dPt>
            <c:idx val="2"/>
            <c:invertIfNegative val="0"/>
            <c:bubble3D val="0"/>
            <c:spPr>
              <a:solidFill>
                <a:srgbClr val="FF0000">
                  <a:alpha val="40000"/>
                </a:srgbClr>
              </a:solidFill>
            </c:spPr>
          </c:dPt>
          <c:cat>
            <c:multiLvlStrRef>
              <c:f>'SYNTHE AUTO EVA'!$C$2:$I$3</c:f>
              <c:multiLvlStrCache>
                <c:ptCount val="7"/>
                <c:lvl>
                  <c:pt idx="0">
                    <c:v>TENUE DES REUNIONS DU CA</c:v>
                  </c:pt>
                  <c:pt idx="1">
                    <c:v>TENUE DES AG</c:v>
                  </c:pt>
                  <c:pt idx="2">
                    <c:v>CONTRÔLE CC</c:v>
                  </c:pt>
                  <c:pt idx="3">
                    <c:v>RESPECT DES TEXTES</c:v>
                  </c:pt>
                  <c:pt idx="4">
                    <c:v>TENUE DU REGISTRE DES MEMBRES</c:v>
                  </c:pt>
                  <c:pt idx="5">
                    <c:v>EXISTENCE DES DOCUMENTS ADMINISTRATIFS ET COMPTABLES</c:v>
                  </c:pt>
                  <c:pt idx="6">
                    <c:v>GOUVERNANCE</c:v>
                  </c:pt>
                </c:lvl>
                <c:lvl>
                  <c:pt idx="0">
                    <c:v>A.1</c:v>
                  </c:pt>
                  <c:pt idx="1">
                    <c:v>A.2</c:v>
                  </c:pt>
                  <c:pt idx="2">
                    <c:v>A.3</c:v>
                  </c:pt>
                  <c:pt idx="3">
                    <c:v>A.4</c:v>
                  </c:pt>
                  <c:pt idx="4">
                    <c:v>A.5</c:v>
                  </c:pt>
                  <c:pt idx="5">
                    <c:v>A.6</c:v>
                  </c:pt>
                  <c:pt idx="6">
                    <c:v>A</c:v>
                  </c:pt>
                </c:lvl>
              </c:multiLvlStrCache>
            </c:multiLvlStrRef>
          </c:cat>
          <c:val>
            <c:numRef>
              <c:f>'SYNTHE AUTO EVA'!$C$11:$I$11</c:f>
              <c:numCache>
                <c:formatCode>0.00</c:formatCode>
                <c:ptCount val="7"/>
                <c:pt idx="0">
                  <c:v>2.0666666666666669</c:v>
                </c:pt>
                <c:pt idx="1">
                  <c:v>1.9333333333333333</c:v>
                </c:pt>
                <c:pt idx="2">
                  <c:v>1.2666666666666666</c:v>
                </c:pt>
                <c:pt idx="3">
                  <c:v>2.2000000000000002</c:v>
                </c:pt>
                <c:pt idx="4">
                  <c:v>1</c:v>
                </c:pt>
                <c:pt idx="5">
                  <c:v>1.8</c:v>
                </c:pt>
                <c:pt idx="6">
                  <c:v>1.711111111111111</c:v>
                </c:pt>
              </c:numCache>
            </c:numRef>
          </c:val>
        </c:ser>
        <c:dLbls>
          <c:showLegendKey val="0"/>
          <c:showVal val="0"/>
          <c:showCatName val="0"/>
          <c:showSerName val="0"/>
          <c:showPercent val="0"/>
          <c:showBubbleSize val="0"/>
        </c:dLbls>
        <c:gapWidth val="150"/>
        <c:axId val="91659264"/>
        <c:axId val="91661056"/>
      </c:barChart>
      <c:catAx>
        <c:axId val="91659264"/>
        <c:scaling>
          <c:orientation val="minMax"/>
        </c:scaling>
        <c:delete val="0"/>
        <c:axPos val="b"/>
        <c:numFmt formatCode="General" sourceLinked="1"/>
        <c:majorTickMark val="out"/>
        <c:minorTickMark val="none"/>
        <c:tickLblPos val="nextTo"/>
        <c:crossAx val="91661056"/>
        <c:crosses val="autoZero"/>
        <c:auto val="1"/>
        <c:lblAlgn val="ctr"/>
        <c:lblOffset val="100"/>
        <c:noMultiLvlLbl val="0"/>
      </c:catAx>
      <c:valAx>
        <c:axId val="91661056"/>
        <c:scaling>
          <c:orientation val="minMax"/>
          <c:max val="3"/>
          <c:min val="0"/>
        </c:scaling>
        <c:delete val="0"/>
        <c:axPos val="l"/>
        <c:majorGridlines/>
        <c:numFmt formatCode="0.00" sourceLinked="1"/>
        <c:majorTickMark val="out"/>
        <c:minorTickMark val="none"/>
        <c:tickLblPos val="nextTo"/>
        <c:crossAx val="91659264"/>
        <c:crosses val="autoZero"/>
        <c:crossBetween val="between"/>
        <c:majorUnit val="0.75000000000000322"/>
        <c:minorUnit val="4.0000000000000022E-2"/>
      </c:val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latin typeface="Arial Narrow" pitchFamily="34" charset="0"/>
              </a:rPr>
              <a:t>PROPORTION</a:t>
            </a:r>
            <a:r>
              <a:rPr lang="fr-FR" sz="1400" baseline="0">
                <a:latin typeface="Arial Narrow" pitchFamily="34" charset="0"/>
              </a:rPr>
              <a:t>  DES CVPC SUIVANT PERFORMANCE EN ORGANISATION INTERNE SUIVANT DIFFERENTS CRITERES</a:t>
            </a:r>
            <a:endParaRPr lang="fr-FR" sz="1400">
              <a:latin typeface="Arial Narrow" pitchFamily="34" charset="0"/>
            </a:endParaRPr>
          </a:p>
        </c:rich>
      </c:tx>
      <c:overlay val="0"/>
    </c:title>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50000"/>
              </a:srgbClr>
            </a:solidFill>
          </c:spPr>
          <c:invertIfNegative val="0"/>
          <c:cat>
            <c:strRef>
              <c:f>('SYNTHE AUTO EVA'!$C$2:$E$2,'SYNTHE AUTO EVA'!$C$4:$E$4)</c:f>
              <c:strCache>
                <c:ptCount val="6"/>
                <c:pt idx="0">
                  <c:v>A.1</c:v>
                </c:pt>
                <c:pt idx="1">
                  <c:v>A.2</c:v>
                </c:pt>
                <c:pt idx="2">
                  <c:v>A.3</c:v>
                </c:pt>
                <c:pt idx="3">
                  <c:v>Les réunions du CA se tiennent-elles et tous les membres participent-ils ?</c:v>
                </c:pt>
                <c:pt idx="4">
                  <c:v>L'AG est -elle tenue et sanctionnée par un PV ?</c:v>
                </c:pt>
                <c:pt idx="5">
                  <c:v>Le CC présentent-ils son rapport de contrôle en AG</c:v>
                </c:pt>
              </c:strCache>
            </c:strRef>
          </c:cat>
          <c:val>
            <c:numRef>
              <c:f>'SYNTHE AUTO EVA'!$C$8:$E$8</c:f>
              <c:numCache>
                <c:formatCode>0%</c:formatCode>
                <c:ptCount val="3"/>
                <c:pt idx="0">
                  <c:v>0.13333333333333333</c:v>
                </c:pt>
                <c:pt idx="1">
                  <c:v>0.13333333333333333</c:v>
                </c:pt>
                <c:pt idx="2">
                  <c:v>0.73333333333333328</c:v>
                </c:pt>
              </c:numCache>
            </c:numRef>
          </c:val>
        </c:ser>
        <c:ser>
          <c:idx val="1"/>
          <c:order val="1"/>
          <c:tx>
            <c:strRef>
              <c:f>'SYNTHE AUTO EVA'!$A$9</c:f>
              <c:strCache>
                <c:ptCount val="1"/>
                <c:pt idx="0">
                  <c:v>% de CVPC ayant une performance moyenne (++)</c:v>
                </c:pt>
              </c:strCache>
            </c:strRef>
          </c:tx>
          <c:spPr>
            <a:solidFill>
              <a:srgbClr val="FFFF00">
                <a:alpha val="50000"/>
              </a:srgbClr>
            </a:solidFill>
          </c:spPr>
          <c:invertIfNegative val="0"/>
          <c:cat>
            <c:strRef>
              <c:f>('SYNTHE AUTO EVA'!$C$2:$E$2,'SYNTHE AUTO EVA'!$C$4:$E$4)</c:f>
              <c:strCache>
                <c:ptCount val="6"/>
                <c:pt idx="0">
                  <c:v>A.1</c:v>
                </c:pt>
                <c:pt idx="1">
                  <c:v>A.2</c:v>
                </c:pt>
                <c:pt idx="2">
                  <c:v>A.3</c:v>
                </c:pt>
                <c:pt idx="3">
                  <c:v>Les réunions du CA se tiennent-elles et tous les membres participent-ils ?</c:v>
                </c:pt>
                <c:pt idx="4">
                  <c:v>L'AG est -elle tenue et sanctionnée par un PV ?</c:v>
                </c:pt>
                <c:pt idx="5">
                  <c:v>Le CC présentent-ils son rapport de contrôle en AG</c:v>
                </c:pt>
              </c:strCache>
            </c:strRef>
          </c:cat>
          <c:val>
            <c:numRef>
              <c:f>'SYNTHE AUTO EVA'!$C$9:$E$9</c:f>
              <c:numCache>
                <c:formatCode>0%</c:formatCode>
                <c:ptCount val="3"/>
                <c:pt idx="0">
                  <c:v>0.66666666666666663</c:v>
                </c:pt>
                <c:pt idx="1">
                  <c:v>0.8</c:v>
                </c:pt>
                <c:pt idx="2">
                  <c:v>0.26666666666666666</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EVA'!$C$2:$E$2,'SYNTHE AUTO EVA'!$C$4:$E$4)</c:f>
              <c:strCache>
                <c:ptCount val="6"/>
                <c:pt idx="0">
                  <c:v>A.1</c:v>
                </c:pt>
                <c:pt idx="1">
                  <c:v>A.2</c:v>
                </c:pt>
                <c:pt idx="2">
                  <c:v>A.3</c:v>
                </c:pt>
                <c:pt idx="3">
                  <c:v>Les réunions du CA se tiennent-elles et tous les membres participent-ils ?</c:v>
                </c:pt>
                <c:pt idx="4">
                  <c:v>L'AG est -elle tenue et sanctionnée par un PV ?</c:v>
                </c:pt>
                <c:pt idx="5">
                  <c:v>Le CC présentent-ils son rapport de contrôle en AG</c:v>
                </c:pt>
              </c:strCache>
            </c:strRef>
          </c:cat>
          <c:val>
            <c:numRef>
              <c:f>'SYNTHE AUTO EVA'!$C$10:$E$10</c:f>
              <c:numCache>
                <c:formatCode>0%</c:formatCode>
                <c:ptCount val="3"/>
                <c:pt idx="0">
                  <c:v>0.2</c:v>
                </c:pt>
                <c:pt idx="1">
                  <c:v>6.6666666666666666E-2</c:v>
                </c:pt>
                <c:pt idx="2">
                  <c:v>0</c:v>
                </c:pt>
              </c:numCache>
            </c:numRef>
          </c:val>
        </c:ser>
        <c:dLbls>
          <c:showLegendKey val="0"/>
          <c:showVal val="0"/>
          <c:showCatName val="0"/>
          <c:showSerName val="0"/>
          <c:showPercent val="0"/>
          <c:showBubbleSize val="0"/>
        </c:dLbls>
        <c:gapWidth val="150"/>
        <c:axId val="91694976"/>
        <c:axId val="91696512"/>
      </c:barChart>
      <c:catAx>
        <c:axId val="91694976"/>
        <c:scaling>
          <c:orientation val="minMax"/>
        </c:scaling>
        <c:delete val="0"/>
        <c:axPos val="b"/>
        <c:numFmt formatCode="General" sourceLinked="1"/>
        <c:majorTickMark val="none"/>
        <c:minorTickMark val="none"/>
        <c:tickLblPos val="nextTo"/>
        <c:crossAx val="91696512"/>
        <c:crosses val="autoZero"/>
        <c:auto val="1"/>
        <c:lblAlgn val="ctr"/>
        <c:lblOffset val="100"/>
        <c:noMultiLvlLbl val="0"/>
      </c:catAx>
      <c:valAx>
        <c:axId val="91696512"/>
        <c:scaling>
          <c:orientation val="minMax"/>
        </c:scaling>
        <c:delete val="0"/>
        <c:axPos val="l"/>
        <c:majorGridlines/>
        <c:numFmt formatCode="0%" sourceLinked="1"/>
        <c:majorTickMark val="none"/>
        <c:minorTickMark val="none"/>
        <c:tickLblPos val="nextTo"/>
        <c:crossAx val="91694976"/>
        <c:crosses val="autoZero"/>
        <c:crossBetween val="between"/>
      </c:valAx>
    </c:plotArea>
    <c:legend>
      <c:legendPos val="r"/>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002060">
                <a:alpha val="40000"/>
              </a:srgbClr>
            </a:solidFill>
          </c:spPr>
          <c:invertIfNegative val="0"/>
          <c:dPt>
            <c:idx val="0"/>
            <c:invertIfNegative val="0"/>
            <c:bubble3D val="0"/>
            <c:spPr>
              <a:solidFill>
                <a:srgbClr val="FF0000">
                  <a:alpha val="40000"/>
                </a:srgbClr>
              </a:solidFill>
            </c:spPr>
          </c:dPt>
          <c:dPt>
            <c:idx val="1"/>
            <c:invertIfNegative val="0"/>
            <c:bubble3D val="0"/>
            <c:spPr>
              <a:solidFill>
                <a:srgbClr val="FFFF00">
                  <a:alpha val="40000"/>
                </a:srgbClr>
              </a:solidFill>
            </c:spPr>
          </c:dPt>
          <c:cat>
            <c:multiLvlStrRef>
              <c:f>'SYNTHE AUTO EVA'!$J$2:$M$3</c:f>
              <c:multiLvlStrCache>
                <c:ptCount val="4"/>
                <c:lvl>
                  <c:pt idx="0">
                    <c:v>MOBILISATION DES RESSOURCES FINANCIERES</c:v>
                  </c:pt>
                  <c:pt idx="1">
                    <c:v>TENUE DES DOCUMENTS FINANCIERS ET COMPTABLES</c:v>
                  </c:pt>
                  <c:pt idx="2">
                    <c:v>ALPHABETISATION DES DIRIGEANTS</c:v>
                  </c:pt>
                  <c:pt idx="3">
                    <c:v>GESTION DES RESSOURCES</c:v>
                  </c:pt>
                </c:lvl>
                <c:lvl>
                  <c:pt idx="0">
                    <c:v>B.1</c:v>
                  </c:pt>
                  <c:pt idx="1">
                    <c:v>B.2</c:v>
                  </c:pt>
                  <c:pt idx="2">
                    <c:v>B.3</c:v>
                  </c:pt>
                  <c:pt idx="3">
                    <c:v>B</c:v>
                  </c:pt>
                </c:lvl>
              </c:multiLvlStrCache>
            </c:multiLvlStrRef>
          </c:cat>
          <c:val>
            <c:numRef>
              <c:f>'SYNTHE AUTO EVA'!$J$11:$M$11</c:f>
              <c:numCache>
                <c:formatCode>0.00</c:formatCode>
                <c:ptCount val="4"/>
                <c:pt idx="0">
                  <c:v>1.8</c:v>
                </c:pt>
                <c:pt idx="1">
                  <c:v>2.2666666666666666</c:v>
                </c:pt>
                <c:pt idx="2">
                  <c:v>2.3333333333333335</c:v>
                </c:pt>
                <c:pt idx="3">
                  <c:v>2.1333333333333333</c:v>
                </c:pt>
              </c:numCache>
            </c:numRef>
          </c:val>
        </c:ser>
        <c:dLbls>
          <c:showLegendKey val="0"/>
          <c:showVal val="0"/>
          <c:showCatName val="0"/>
          <c:showSerName val="0"/>
          <c:showPercent val="0"/>
          <c:showBubbleSize val="0"/>
        </c:dLbls>
        <c:gapWidth val="150"/>
        <c:axId val="91730688"/>
        <c:axId val="91732224"/>
      </c:barChart>
      <c:catAx>
        <c:axId val="91730688"/>
        <c:scaling>
          <c:orientation val="minMax"/>
        </c:scaling>
        <c:delete val="0"/>
        <c:axPos val="b"/>
        <c:numFmt formatCode="General" sourceLinked="1"/>
        <c:majorTickMark val="out"/>
        <c:minorTickMark val="none"/>
        <c:tickLblPos val="nextTo"/>
        <c:crossAx val="91732224"/>
        <c:crosses val="autoZero"/>
        <c:auto val="1"/>
        <c:lblAlgn val="ctr"/>
        <c:lblOffset val="100"/>
        <c:noMultiLvlLbl val="0"/>
      </c:catAx>
      <c:valAx>
        <c:axId val="91732224"/>
        <c:scaling>
          <c:orientation val="minMax"/>
          <c:max val="3"/>
          <c:min val="0"/>
        </c:scaling>
        <c:delete val="0"/>
        <c:axPos val="l"/>
        <c:majorGridlines/>
        <c:numFmt formatCode="0.00" sourceLinked="1"/>
        <c:majorTickMark val="out"/>
        <c:minorTickMark val="out"/>
        <c:tickLblPos val="nextTo"/>
        <c:crossAx val="91730688"/>
        <c:crosses val="autoZero"/>
        <c:crossBetween val="between"/>
        <c:majorUnit val="0.75000000000000344"/>
        <c:minorUnit val="0.25"/>
      </c:valAx>
    </c:plotArea>
    <c:plotVisOnly val="1"/>
    <c:dispBlanksAs val="gap"/>
    <c:showDLblsOverMax val="0"/>
  </c:chart>
  <c:printSettings>
    <c:headerFooter/>
    <c:pageMargins b="0.75000000000000377" l="0.70000000000000062" r="0.70000000000000062" t="0.7500000000000037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50000"/>
              </a:srgbClr>
            </a:solidFill>
          </c:spPr>
          <c:invertIfNegative val="0"/>
          <c:cat>
            <c:multiLvlStrRef>
              <c:f>'SYNTHE AUTO EVA'!$J$2:$M$3</c:f>
              <c:multiLvlStrCache>
                <c:ptCount val="4"/>
                <c:lvl>
                  <c:pt idx="0">
                    <c:v>MOBILISATION DES RESSOURCES FINANCIERES</c:v>
                  </c:pt>
                  <c:pt idx="1">
                    <c:v>TENUE DES DOCUMENTS FINANCIERS ET COMPTABLES</c:v>
                  </c:pt>
                  <c:pt idx="2">
                    <c:v>ALPHABETISATION DES DIRIGEANTS</c:v>
                  </c:pt>
                  <c:pt idx="3">
                    <c:v>GESTION DES RESSOURCES</c:v>
                  </c:pt>
                </c:lvl>
                <c:lvl>
                  <c:pt idx="0">
                    <c:v>B.1</c:v>
                  </c:pt>
                  <c:pt idx="1">
                    <c:v>B.2</c:v>
                  </c:pt>
                  <c:pt idx="2">
                    <c:v>B.3</c:v>
                  </c:pt>
                  <c:pt idx="3">
                    <c:v>B</c:v>
                  </c:pt>
                </c:lvl>
              </c:multiLvlStrCache>
            </c:multiLvlStrRef>
          </c:cat>
          <c:val>
            <c:numRef>
              <c:f>'SYNTHE AUTO EVA'!$J$8:$K$8</c:f>
              <c:numCache>
                <c:formatCode>0%</c:formatCode>
                <c:ptCount val="2"/>
                <c:pt idx="0">
                  <c:v>0.2</c:v>
                </c:pt>
                <c:pt idx="1">
                  <c:v>0</c:v>
                </c:pt>
              </c:numCache>
            </c:numRef>
          </c:val>
        </c:ser>
        <c:ser>
          <c:idx val="1"/>
          <c:order val="1"/>
          <c:tx>
            <c:strRef>
              <c:f>'SYNTHE AUTO EVA'!$A$9</c:f>
              <c:strCache>
                <c:ptCount val="1"/>
                <c:pt idx="0">
                  <c:v>% de CVPC ayant une performance moyenne (++)</c:v>
                </c:pt>
              </c:strCache>
            </c:strRef>
          </c:tx>
          <c:spPr>
            <a:solidFill>
              <a:srgbClr val="FFFF00">
                <a:alpha val="50000"/>
              </a:srgbClr>
            </a:solidFill>
          </c:spPr>
          <c:invertIfNegative val="0"/>
          <c:cat>
            <c:multiLvlStrRef>
              <c:f>'SYNTHE AUTO EVA'!$J$2:$M$3</c:f>
              <c:multiLvlStrCache>
                <c:ptCount val="4"/>
                <c:lvl>
                  <c:pt idx="0">
                    <c:v>MOBILISATION DES RESSOURCES FINANCIERES</c:v>
                  </c:pt>
                  <c:pt idx="1">
                    <c:v>TENUE DES DOCUMENTS FINANCIERS ET COMPTABLES</c:v>
                  </c:pt>
                  <c:pt idx="2">
                    <c:v>ALPHABETISATION DES DIRIGEANTS</c:v>
                  </c:pt>
                  <c:pt idx="3">
                    <c:v>GESTION DES RESSOURCES</c:v>
                  </c:pt>
                </c:lvl>
                <c:lvl>
                  <c:pt idx="0">
                    <c:v>B.1</c:v>
                  </c:pt>
                  <c:pt idx="1">
                    <c:v>B.2</c:v>
                  </c:pt>
                  <c:pt idx="2">
                    <c:v>B.3</c:v>
                  </c:pt>
                  <c:pt idx="3">
                    <c:v>B</c:v>
                  </c:pt>
                </c:lvl>
              </c:multiLvlStrCache>
            </c:multiLvlStrRef>
          </c:cat>
          <c:val>
            <c:numRef>
              <c:f>'SYNTHE AUTO EVA'!$J$9:$K$9</c:f>
              <c:numCache>
                <c:formatCode>0%</c:formatCode>
                <c:ptCount val="2"/>
                <c:pt idx="0">
                  <c:v>0.8</c:v>
                </c:pt>
                <c:pt idx="1">
                  <c:v>0.73333333333333328</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multiLvlStrRef>
              <c:f>'SYNTHE AUTO EVA'!$J$2:$M$3</c:f>
              <c:multiLvlStrCache>
                <c:ptCount val="4"/>
                <c:lvl>
                  <c:pt idx="0">
                    <c:v>MOBILISATION DES RESSOURCES FINANCIERES</c:v>
                  </c:pt>
                  <c:pt idx="1">
                    <c:v>TENUE DES DOCUMENTS FINANCIERS ET COMPTABLES</c:v>
                  </c:pt>
                  <c:pt idx="2">
                    <c:v>ALPHABETISATION DES DIRIGEANTS</c:v>
                  </c:pt>
                  <c:pt idx="3">
                    <c:v>GESTION DES RESSOURCES</c:v>
                  </c:pt>
                </c:lvl>
                <c:lvl>
                  <c:pt idx="0">
                    <c:v>B.1</c:v>
                  </c:pt>
                  <c:pt idx="1">
                    <c:v>B.2</c:v>
                  </c:pt>
                  <c:pt idx="2">
                    <c:v>B.3</c:v>
                  </c:pt>
                  <c:pt idx="3">
                    <c:v>B</c:v>
                  </c:pt>
                </c:lvl>
              </c:multiLvlStrCache>
            </c:multiLvlStrRef>
          </c:cat>
          <c:val>
            <c:numRef>
              <c:f>'SYNTHE AUTO EVA'!$J$10:$K$10</c:f>
              <c:numCache>
                <c:formatCode>0%</c:formatCode>
                <c:ptCount val="2"/>
                <c:pt idx="0">
                  <c:v>0</c:v>
                </c:pt>
                <c:pt idx="1">
                  <c:v>0.26666666666666666</c:v>
                </c:pt>
              </c:numCache>
            </c:numRef>
          </c:val>
        </c:ser>
        <c:dLbls>
          <c:showLegendKey val="0"/>
          <c:showVal val="0"/>
          <c:showCatName val="0"/>
          <c:showSerName val="0"/>
          <c:showPercent val="0"/>
          <c:showBubbleSize val="0"/>
        </c:dLbls>
        <c:gapWidth val="150"/>
        <c:axId val="94121344"/>
        <c:axId val="94127232"/>
      </c:barChart>
      <c:catAx>
        <c:axId val="94121344"/>
        <c:scaling>
          <c:orientation val="minMax"/>
        </c:scaling>
        <c:delete val="0"/>
        <c:axPos val="b"/>
        <c:numFmt formatCode="General" sourceLinked="1"/>
        <c:majorTickMark val="out"/>
        <c:minorTickMark val="none"/>
        <c:tickLblPos val="nextTo"/>
        <c:crossAx val="94127232"/>
        <c:crosses val="autoZero"/>
        <c:auto val="1"/>
        <c:lblAlgn val="ctr"/>
        <c:lblOffset val="100"/>
        <c:noMultiLvlLbl val="0"/>
      </c:catAx>
      <c:valAx>
        <c:axId val="94127232"/>
        <c:scaling>
          <c:orientation val="minMax"/>
          <c:max val="1"/>
        </c:scaling>
        <c:delete val="0"/>
        <c:axPos val="l"/>
        <c:majorGridlines/>
        <c:numFmt formatCode="0%" sourceLinked="1"/>
        <c:majorTickMark val="out"/>
        <c:minorTickMark val="none"/>
        <c:tickLblPos val="nextTo"/>
        <c:crossAx val="94121344"/>
        <c:crosses val="autoZero"/>
        <c:crossBetween val="between"/>
        <c:majorUnit val="0.2"/>
        <c:minorUnit val="2.0000000000000011E-2"/>
      </c:valAx>
    </c:plotArea>
    <c:legend>
      <c:legendPos val="r"/>
      <c:overlay val="0"/>
    </c:legend>
    <c:plotVisOnly val="1"/>
    <c:dispBlanksAs val="gap"/>
    <c:showDLblsOverMax val="0"/>
  </c:chart>
  <c:printSettings>
    <c:headerFooter/>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fr-FR" sz="1200">
                <a:latin typeface="Arial Narrow" pitchFamily="34" charset="0"/>
              </a:rPr>
              <a:t>Graphique 3.1.2. </a:t>
            </a:r>
            <a:r>
              <a:rPr lang="fr-FR" sz="1200" b="0">
                <a:latin typeface="Arial Narrow" pitchFamily="34" charset="0"/>
              </a:rPr>
              <a:t>Répartition des </a:t>
            </a:r>
            <a:r>
              <a:rPr lang="fr-FR" sz="1200" b="0" baseline="0">
                <a:latin typeface="Arial Narrow" pitchFamily="34" charset="0"/>
              </a:rPr>
              <a:t>CVPC suivant performance en gouvernance selon différents critères </a:t>
            </a:r>
            <a:endParaRPr lang="fr-FR" sz="1200" b="0">
              <a:latin typeface="Arial Narrow" pitchFamily="34" charset="0"/>
            </a:endParaRPr>
          </a:p>
        </c:rich>
      </c:tx>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strRef>
              <c:f>'SYNTHE AUTO EVA'!$C$2:$H$2</c:f>
              <c:strCache>
                <c:ptCount val="6"/>
                <c:pt idx="0">
                  <c:v>A.1</c:v>
                </c:pt>
                <c:pt idx="1">
                  <c:v>A.2</c:v>
                </c:pt>
                <c:pt idx="2">
                  <c:v>A.3</c:v>
                </c:pt>
                <c:pt idx="3">
                  <c:v>A.4</c:v>
                </c:pt>
                <c:pt idx="4">
                  <c:v>A.5</c:v>
                </c:pt>
                <c:pt idx="5">
                  <c:v>A.6</c:v>
                </c:pt>
              </c:strCache>
            </c:strRef>
          </c:cat>
          <c:val>
            <c:numRef>
              <c:f>'SYNTHE AUTO EVA'!$C$8:$H$8</c:f>
              <c:numCache>
                <c:formatCode>0%</c:formatCode>
                <c:ptCount val="6"/>
                <c:pt idx="0">
                  <c:v>0.13333333333333333</c:v>
                </c:pt>
                <c:pt idx="1">
                  <c:v>0.13333333333333333</c:v>
                </c:pt>
                <c:pt idx="2">
                  <c:v>0.73333333333333328</c:v>
                </c:pt>
                <c:pt idx="3">
                  <c:v>0</c:v>
                </c:pt>
                <c:pt idx="4">
                  <c:v>1</c:v>
                </c:pt>
                <c:pt idx="5">
                  <c:v>0.2</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strRef>
              <c:f>'SYNTHE AUTO EVA'!$C$2:$H$2</c:f>
              <c:strCache>
                <c:ptCount val="6"/>
                <c:pt idx="0">
                  <c:v>A.1</c:v>
                </c:pt>
                <c:pt idx="1">
                  <c:v>A.2</c:v>
                </c:pt>
                <c:pt idx="2">
                  <c:v>A.3</c:v>
                </c:pt>
                <c:pt idx="3">
                  <c:v>A.4</c:v>
                </c:pt>
                <c:pt idx="4">
                  <c:v>A.5</c:v>
                </c:pt>
                <c:pt idx="5">
                  <c:v>A.6</c:v>
                </c:pt>
              </c:strCache>
            </c:strRef>
          </c:cat>
          <c:val>
            <c:numRef>
              <c:f>'SYNTHE AUTO EVA'!$C$9:$H$9</c:f>
              <c:numCache>
                <c:formatCode>0%</c:formatCode>
                <c:ptCount val="6"/>
                <c:pt idx="0">
                  <c:v>0.66666666666666663</c:v>
                </c:pt>
                <c:pt idx="1">
                  <c:v>0.8</c:v>
                </c:pt>
                <c:pt idx="2">
                  <c:v>0.26666666666666666</c:v>
                </c:pt>
                <c:pt idx="3">
                  <c:v>0.8</c:v>
                </c:pt>
                <c:pt idx="4">
                  <c:v>0</c:v>
                </c:pt>
                <c:pt idx="5">
                  <c:v>0.8</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EVA'!$C$2:$H$2</c:f>
              <c:strCache>
                <c:ptCount val="6"/>
                <c:pt idx="0">
                  <c:v>A.1</c:v>
                </c:pt>
                <c:pt idx="1">
                  <c:v>A.2</c:v>
                </c:pt>
                <c:pt idx="2">
                  <c:v>A.3</c:v>
                </c:pt>
                <c:pt idx="3">
                  <c:v>A.4</c:v>
                </c:pt>
                <c:pt idx="4">
                  <c:v>A.5</c:v>
                </c:pt>
                <c:pt idx="5">
                  <c:v>A.6</c:v>
                </c:pt>
              </c:strCache>
            </c:strRef>
          </c:cat>
          <c:val>
            <c:numRef>
              <c:f>'SYNTHE AUTO EVA'!$C$10:$H$10</c:f>
              <c:numCache>
                <c:formatCode>0%</c:formatCode>
                <c:ptCount val="6"/>
                <c:pt idx="0">
                  <c:v>0.2</c:v>
                </c:pt>
                <c:pt idx="1">
                  <c:v>6.6666666666666666E-2</c:v>
                </c:pt>
                <c:pt idx="2">
                  <c:v>0</c:v>
                </c:pt>
                <c:pt idx="3">
                  <c:v>0.2</c:v>
                </c:pt>
                <c:pt idx="4">
                  <c:v>0</c:v>
                </c:pt>
                <c:pt idx="5">
                  <c:v>0</c:v>
                </c:pt>
              </c:numCache>
            </c:numRef>
          </c:val>
        </c:ser>
        <c:dLbls>
          <c:showLegendKey val="0"/>
          <c:showVal val="0"/>
          <c:showCatName val="0"/>
          <c:showSerName val="0"/>
          <c:showPercent val="0"/>
          <c:showBubbleSize val="0"/>
        </c:dLbls>
        <c:gapWidth val="150"/>
        <c:overlap val="100"/>
        <c:axId val="91316224"/>
        <c:axId val="91317760"/>
      </c:barChart>
      <c:catAx>
        <c:axId val="91316224"/>
        <c:scaling>
          <c:orientation val="minMax"/>
        </c:scaling>
        <c:delete val="0"/>
        <c:axPos val="b"/>
        <c:numFmt formatCode="General" sourceLinked="1"/>
        <c:majorTickMark val="none"/>
        <c:minorTickMark val="none"/>
        <c:tickLblPos val="nextTo"/>
        <c:crossAx val="91317760"/>
        <c:crosses val="autoZero"/>
        <c:auto val="1"/>
        <c:lblAlgn val="ctr"/>
        <c:lblOffset val="100"/>
        <c:noMultiLvlLbl val="0"/>
      </c:catAx>
      <c:valAx>
        <c:axId val="91317760"/>
        <c:scaling>
          <c:orientation val="minMax"/>
        </c:scaling>
        <c:delete val="1"/>
        <c:axPos val="l"/>
        <c:numFmt formatCode="0%" sourceLinked="1"/>
        <c:majorTickMark val="none"/>
        <c:minorTickMark val="none"/>
        <c:tickLblPos val="none"/>
        <c:crossAx val="91316224"/>
        <c:crosses val="autoZero"/>
        <c:crossBetween val="between"/>
      </c:valAx>
      <c:dTable>
        <c:showHorzBorder val="0"/>
        <c:showVertBorder val="1"/>
        <c:showOutline val="1"/>
        <c:showKeys val="1"/>
      </c:dTable>
    </c:plotArea>
    <c:plotVisOnly val="1"/>
    <c:dispBlanksAs val="gap"/>
    <c:showDLblsOverMax val="0"/>
  </c:chart>
  <c:printSettings>
    <c:headerFooter/>
    <c:pageMargins b="0.750000000000004" l="0.70000000000000062" r="0.70000000000000062" t="0.75000000000000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002060">
                <a:alpha val="40000"/>
              </a:srgbClr>
            </a:solidFill>
          </c:spPr>
          <c:invertIfNegative val="0"/>
          <c:cat>
            <c:multiLvlStrRef>
              <c:f>'SYNTHE AUTO EVA'!$N$2:$Q$3</c:f>
              <c:multiLvlStrCache>
                <c:ptCount val="4"/>
                <c:lvl>
                  <c:pt idx="0">
                    <c:v>CAPACITE DES ELUS A EVALUER LA DETTE DES MEMBRES</c:v>
                  </c:pt>
                  <c:pt idx="1">
                    <c:v>MOBILISATION DU CREDIT AU PROFIT DE LEURS MEMBRES</c:v>
                  </c:pt>
                  <c:pt idx="2">
                    <c:v>RECOUVREMENT DES CREDITS</c:v>
                  </c:pt>
                  <c:pt idx="3">
                    <c:v>GESTION DU CREDIT</c:v>
                  </c:pt>
                </c:lvl>
                <c:lvl>
                  <c:pt idx="0">
                    <c:v>C.1</c:v>
                  </c:pt>
                  <c:pt idx="1">
                    <c:v>C.2</c:v>
                  </c:pt>
                  <c:pt idx="2">
                    <c:v>C.3</c:v>
                  </c:pt>
                  <c:pt idx="3">
                    <c:v>C</c:v>
                  </c:pt>
                </c:lvl>
              </c:multiLvlStrCache>
            </c:multiLvlStrRef>
          </c:cat>
          <c:val>
            <c:numRef>
              <c:f>'SYNTHE AUTO EVA'!$N$11:$Q$11</c:f>
              <c:numCache>
                <c:formatCode>0.00</c:formatCode>
                <c:ptCount val="4"/>
                <c:pt idx="0">
                  <c:v>3</c:v>
                </c:pt>
                <c:pt idx="1">
                  <c:v>1</c:v>
                </c:pt>
                <c:pt idx="2">
                  <c:v>2.8666666666666667</c:v>
                </c:pt>
                <c:pt idx="3">
                  <c:v>2.2888888888888888</c:v>
                </c:pt>
              </c:numCache>
            </c:numRef>
          </c:val>
        </c:ser>
        <c:dLbls>
          <c:showLegendKey val="0"/>
          <c:showVal val="0"/>
          <c:showCatName val="0"/>
          <c:showSerName val="0"/>
          <c:showPercent val="0"/>
          <c:showBubbleSize val="0"/>
        </c:dLbls>
        <c:gapWidth val="150"/>
        <c:axId val="94155520"/>
        <c:axId val="94157056"/>
      </c:barChart>
      <c:catAx>
        <c:axId val="94155520"/>
        <c:scaling>
          <c:orientation val="minMax"/>
        </c:scaling>
        <c:delete val="0"/>
        <c:axPos val="b"/>
        <c:numFmt formatCode="General" sourceLinked="1"/>
        <c:majorTickMark val="out"/>
        <c:minorTickMark val="none"/>
        <c:tickLblPos val="nextTo"/>
        <c:crossAx val="94157056"/>
        <c:crosses val="autoZero"/>
        <c:auto val="1"/>
        <c:lblAlgn val="ctr"/>
        <c:lblOffset val="100"/>
        <c:noMultiLvlLbl val="0"/>
      </c:catAx>
      <c:valAx>
        <c:axId val="94157056"/>
        <c:scaling>
          <c:orientation val="minMax"/>
          <c:max val="3"/>
          <c:min val="0"/>
        </c:scaling>
        <c:delete val="0"/>
        <c:axPos val="l"/>
        <c:majorGridlines/>
        <c:numFmt formatCode="0.00" sourceLinked="1"/>
        <c:majorTickMark val="out"/>
        <c:minorTickMark val="out"/>
        <c:tickLblPos val="nextTo"/>
        <c:crossAx val="94155520"/>
        <c:crosses val="autoZero"/>
        <c:crossBetween val="between"/>
        <c:majorUnit val="0.75000000000000344"/>
        <c:minorUnit val="0.25"/>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50000"/>
              </a:srgbClr>
            </a:solidFill>
          </c:spPr>
          <c:invertIfNegative val="0"/>
          <c:cat>
            <c:strRef>
              <c:f>'SYNTHE AUTO EVA'!$N$2:$N$3</c:f>
              <c:strCache>
                <c:ptCount val="2"/>
                <c:pt idx="0">
                  <c:v>C.1</c:v>
                </c:pt>
                <c:pt idx="1">
                  <c:v>CAPACITE DES ELUS A EVALUER LA DETTE DES MEMBRES</c:v>
                </c:pt>
              </c:strCache>
            </c:strRef>
          </c:cat>
          <c:val>
            <c:numRef>
              <c:f>'SYNTHE AUTO EVA'!$N$8:$N$8</c:f>
              <c:numCache>
                <c:formatCode>0%</c:formatCode>
                <c:ptCount val="1"/>
                <c:pt idx="0">
                  <c:v>0</c:v>
                </c:pt>
              </c:numCache>
            </c:numRef>
          </c:val>
        </c:ser>
        <c:ser>
          <c:idx val="1"/>
          <c:order val="1"/>
          <c:tx>
            <c:strRef>
              <c:f>'SYNTHE AUTO EVA'!$A$9</c:f>
              <c:strCache>
                <c:ptCount val="1"/>
                <c:pt idx="0">
                  <c:v>% de CVPC ayant une performance moyenne (++)</c:v>
                </c:pt>
              </c:strCache>
            </c:strRef>
          </c:tx>
          <c:spPr>
            <a:solidFill>
              <a:srgbClr val="FFFF00">
                <a:alpha val="50000"/>
              </a:srgbClr>
            </a:solidFill>
          </c:spPr>
          <c:invertIfNegative val="0"/>
          <c:cat>
            <c:strRef>
              <c:f>'SYNTHE AUTO EVA'!$N$2:$N$3</c:f>
              <c:strCache>
                <c:ptCount val="2"/>
                <c:pt idx="0">
                  <c:v>C.1</c:v>
                </c:pt>
                <c:pt idx="1">
                  <c:v>CAPACITE DES ELUS A EVALUER LA DETTE DES MEMBRES</c:v>
                </c:pt>
              </c:strCache>
            </c:strRef>
          </c:cat>
          <c:val>
            <c:numRef>
              <c:f>'SYNTHE AUTO EVA'!$N$9:$N$9</c:f>
              <c:numCache>
                <c:formatCode>0%</c:formatCode>
                <c:ptCount val="1"/>
                <c:pt idx="0">
                  <c:v>0</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EVA'!$N$2:$N$3</c:f>
              <c:strCache>
                <c:ptCount val="2"/>
                <c:pt idx="0">
                  <c:v>C.1</c:v>
                </c:pt>
                <c:pt idx="1">
                  <c:v>CAPACITE DES ELUS A EVALUER LA DETTE DES MEMBRES</c:v>
                </c:pt>
              </c:strCache>
            </c:strRef>
          </c:cat>
          <c:val>
            <c:numRef>
              <c:f>'SYNTHE AUTO EVA'!$N$10:$N$10</c:f>
              <c:numCache>
                <c:formatCode>0%</c:formatCode>
                <c:ptCount val="1"/>
                <c:pt idx="0">
                  <c:v>1</c:v>
                </c:pt>
              </c:numCache>
            </c:numRef>
          </c:val>
        </c:ser>
        <c:dLbls>
          <c:showLegendKey val="0"/>
          <c:showVal val="0"/>
          <c:showCatName val="0"/>
          <c:showSerName val="0"/>
          <c:showPercent val="0"/>
          <c:showBubbleSize val="0"/>
        </c:dLbls>
        <c:gapWidth val="150"/>
        <c:axId val="94199808"/>
        <c:axId val="94201344"/>
      </c:barChart>
      <c:catAx>
        <c:axId val="94199808"/>
        <c:scaling>
          <c:orientation val="minMax"/>
        </c:scaling>
        <c:delete val="0"/>
        <c:axPos val="b"/>
        <c:numFmt formatCode="General" sourceLinked="1"/>
        <c:majorTickMark val="out"/>
        <c:minorTickMark val="none"/>
        <c:tickLblPos val="nextTo"/>
        <c:crossAx val="94201344"/>
        <c:crosses val="autoZero"/>
        <c:auto val="1"/>
        <c:lblAlgn val="ctr"/>
        <c:lblOffset val="100"/>
        <c:noMultiLvlLbl val="0"/>
      </c:catAx>
      <c:valAx>
        <c:axId val="94201344"/>
        <c:scaling>
          <c:orientation val="minMax"/>
        </c:scaling>
        <c:delete val="0"/>
        <c:axPos val="l"/>
        <c:majorGridlines/>
        <c:numFmt formatCode="0%" sourceLinked="1"/>
        <c:majorTickMark val="out"/>
        <c:minorTickMark val="none"/>
        <c:tickLblPos val="nextTo"/>
        <c:crossAx val="94199808"/>
        <c:crosses val="autoZero"/>
        <c:crossBetween val="between"/>
      </c:valAx>
    </c:plotArea>
    <c:legend>
      <c:legendPos val="r"/>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0712037256468513E-2"/>
          <c:y val="0.14066772187968307"/>
          <c:w val="0.89309748614388473"/>
          <c:h val="0.22726845572040788"/>
        </c:manualLayout>
      </c:layout>
      <c:barChart>
        <c:barDir val="col"/>
        <c:grouping val="clustered"/>
        <c:varyColors val="0"/>
        <c:ser>
          <c:idx val="0"/>
          <c:order val="0"/>
          <c:tx>
            <c:strRef>
              <c:f>'SYNTHE AUTO EVA'!$B$11</c:f>
              <c:strCache>
                <c:ptCount val="1"/>
                <c:pt idx="0">
                  <c:v>Performance moyenne par critère et domaine</c:v>
                </c:pt>
              </c:strCache>
            </c:strRef>
          </c:tx>
          <c:spPr>
            <a:solidFill>
              <a:srgbClr val="002060">
                <a:alpha val="40000"/>
              </a:srgbClr>
            </a:solidFill>
          </c:spPr>
          <c:invertIfNegative val="0"/>
          <c:dPt>
            <c:idx val="0"/>
            <c:invertIfNegative val="0"/>
            <c:bubble3D val="0"/>
            <c:spPr>
              <a:solidFill>
                <a:srgbClr val="FF0000">
                  <a:alpha val="40000"/>
                </a:srgbClr>
              </a:solidFill>
            </c:spPr>
          </c:dPt>
          <c:dPt>
            <c:idx val="1"/>
            <c:invertIfNegative val="0"/>
            <c:bubble3D val="0"/>
            <c:spPr>
              <a:solidFill>
                <a:srgbClr val="FF0000">
                  <a:alpha val="40000"/>
                </a:srgbClr>
              </a:solidFill>
            </c:spPr>
          </c:dPt>
          <c:dPt>
            <c:idx val="2"/>
            <c:invertIfNegative val="0"/>
            <c:bubble3D val="0"/>
            <c:spPr>
              <a:solidFill>
                <a:srgbClr val="FFFF00">
                  <a:alpha val="40000"/>
                </a:srgbClr>
              </a:solidFill>
            </c:spPr>
          </c:dPt>
          <c:cat>
            <c:multiLvlStrRef>
              <c:f>'SYNTHE AUTO EVA'!$R$2:$V$3</c:f>
              <c:multiLvlStrCache>
                <c:ptCount val="5"/>
                <c:lvl>
                  <c:pt idx="0">
                    <c:v>EXPRESSION DES BESOINS EN INTRANTS</c:v>
                  </c:pt>
                  <c:pt idx="1">
                    <c:v>RECEPTION DES INTRANTS</c:v>
                  </c:pt>
                  <c:pt idx="2">
                    <c:v>DISTRIBUTION DES INTRANTS</c:v>
                  </c:pt>
                  <c:pt idx="3">
                    <c:v>RECEPTION DES INTRANTS PAR LES MEMBRES</c:v>
                  </c:pt>
                  <c:pt idx="4">
                    <c:v>GESTION DES INTRANTS</c:v>
                  </c:pt>
                </c:lvl>
                <c:lvl>
                  <c:pt idx="0">
                    <c:v>D.1</c:v>
                  </c:pt>
                  <c:pt idx="1">
                    <c:v>D.2</c:v>
                  </c:pt>
                  <c:pt idx="2">
                    <c:v>D.3</c:v>
                  </c:pt>
                  <c:pt idx="3">
                    <c:v>D.4</c:v>
                  </c:pt>
                  <c:pt idx="4">
                    <c:v> D</c:v>
                  </c:pt>
                </c:lvl>
              </c:multiLvlStrCache>
            </c:multiLvlStrRef>
          </c:cat>
          <c:val>
            <c:numRef>
              <c:f>'SYNTHE AUTO EVA'!$R$11:$V$11</c:f>
              <c:numCache>
                <c:formatCode>0.00</c:formatCode>
                <c:ptCount val="5"/>
                <c:pt idx="0">
                  <c:v>3</c:v>
                </c:pt>
                <c:pt idx="1">
                  <c:v>2.5333333333333332</c:v>
                </c:pt>
                <c:pt idx="2">
                  <c:v>2.4666666666666668</c:v>
                </c:pt>
                <c:pt idx="3">
                  <c:v>2.2000000000000002</c:v>
                </c:pt>
                <c:pt idx="4">
                  <c:v>2.5499999999999998</c:v>
                </c:pt>
              </c:numCache>
            </c:numRef>
          </c:val>
        </c:ser>
        <c:dLbls>
          <c:showLegendKey val="0"/>
          <c:showVal val="0"/>
          <c:showCatName val="0"/>
          <c:showSerName val="0"/>
          <c:showPercent val="0"/>
          <c:showBubbleSize val="0"/>
        </c:dLbls>
        <c:gapWidth val="150"/>
        <c:axId val="94222592"/>
        <c:axId val="94228480"/>
      </c:barChart>
      <c:catAx>
        <c:axId val="942225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94228480"/>
        <c:crosses val="autoZero"/>
        <c:auto val="1"/>
        <c:lblAlgn val="ctr"/>
        <c:lblOffset val="100"/>
        <c:noMultiLvlLbl val="0"/>
      </c:catAx>
      <c:valAx>
        <c:axId val="94228480"/>
        <c:scaling>
          <c:orientation val="minMax"/>
          <c:max val="3"/>
          <c:min val="0"/>
        </c:scaling>
        <c:delete val="0"/>
        <c:axPos val="l"/>
        <c:majorGridlines/>
        <c:numFmt formatCode="0.00" sourceLinked="1"/>
        <c:majorTickMark val="out"/>
        <c:minorTickMark val="none"/>
        <c:tickLblPos val="nextTo"/>
        <c:crossAx val="94222592"/>
        <c:crosses val="autoZero"/>
        <c:crossBetween val="between"/>
        <c:majorUnit val="0.75000000000000344"/>
        <c:minorUnit val="0.25"/>
      </c:valAx>
    </c:plotArea>
    <c:plotVisOnly val="1"/>
    <c:dispBlanksAs val="gap"/>
    <c:showDLblsOverMax val="0"/>
  </c:chart>
  <c:spPr>
    <a:noFill/>
  </c:spPr>
  <c:printSettings>
    <c:headerFooter/>
    <c:pageMargins b="0.75000000000000422" l="0.70000000000000062" r="0.70000000000000062" t="0.75000000000000422"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50000"/>
              </a:srgbClr>
            </a:solidFill>
          </c:spPr>
          <c:invertIfNegative val="0"/>
          <c:cat>
            <c:multiLvlStrRef>
              <c:f>'SYNTHE AUTO EVA'!$R$2:$U$3</c:f>
              <c:multiLvlStrCache>
                <c:ptCount val="4"/>
                <c:lvl>
                  <c:pt idx="0">
                    <c:v>EXPRESSION DES BESOINS EN INTRANTS</c:v>
                  </c:pt>
                  <c:pt idx="1">
                    <c:v>RECEPTION DES INTRANTS</c:v>
                  </c:pt>
                  <c:pt idx="2">
                    <c:v>DISTRIBUTION DES INTRANTS</c:v>
                  </c:pt>
                  <c:pt idx="3">
                    <c:v>RECEPTION DES INTRANTS PAR LES MEMBRES</c:v>
                  </c:pt>
                </c:lvl>
                <c:lvl>
                  <c:pt idx="0">
                    <c:v>D.1</c:v>
                  </c:pt>
                  <c:pt idx="1">
                    <c:v>D.2</c:v>
                  </c:pt>
                  <c:pt idx="2">
                    <c:v>D.3</c:v>
                  </c:pt>
                  <c:pt idx="3">
                    <c:v>D.4</c:v>
                  </c:pt>
                </c:lvl>
              </c:multiLvlStrCache>
            </c:multiLvlStrRef>
          </c:cat>
          <c:val>
            <c:numRef>
              <c:f>'SYNTHE AUTO EVA'!$R$8:$U$8</c:f>
              <c:numCache>
                <c:formatCode>0%</c:formatCode>
                <c:ptCount val="4"/>
                <c:pt idx="0">
                  <c:v>0</c:v>
                </c:pt>
                <c:pt idx="1">
                  <c:v>0</c:v>
                </c:pt>
                <c:pt idx="2">
                  <c:v>0</c:v>
                </c:pt>
                <c:pt idx="3">
                  <c:v>0</c:v>
                </c:pt>
              </c:numCache>
            </c:numRef>
          </c:val>
        </c:ser>
        <c:ser>
          <c:idx val="1"/>
          <c:order val="1"/>
          <c:tx>
            <c:strRef>
              <c:f>'SYNTHE AUTO EVA'!$A$9</c:f>
              <c:strCache>
                <c:ptCount val="1"/>
                <c:pt idx="0">
                  <c:v>% de CVPC ayant une performance moyenne (++)</c:v>
                </c:pt>
              </c:strCache>
            </c:strRef>
          </c:tx>
          <c:spPr>
            <a:solidFill>
              <a:srgbClr val="FFFF00">
                <a:alpha val="50000"/>
              </a:srgbClr>
            </a:solidFill>
          </c:spPr>
          <c:invertIfNegative val="0"/>
          <c:cat>
            <c:multiLvlStrRef>
              <c:f>'SYNTHE AUTO EVA'!$R$2:$U$3</c:f>
              <c:multiLvlStrCache>
                <c:ptCount val="4"/>
                <c:lvl>
                  <c:pt idx="0">
                    <c:v>EXPRESSION DES BESOINS EN INTRANTS</c:v>
                  </c:pt>
                  <c:pt idx="1">
                    <c:v>RECEPTION DES INTRANTS</c:v>
                  </c:pt>
                  <c:pt idx="2">
                    <c:v>DISTRIBUTION DES INTRANTS</c:v>
                  </c:pt>
                  <c:pt idx="3">
                    <c:v>RECEPTION DES INTRANTS PAR LES MEMBRES</c:v>
                  </c:pt>
                </c:lvl>
                <c:lvl>
                  <c:pt idx="0">
                    <c:v>D.1</c:v>
                  </c:pt>
                  <c:pt idx="1">
                    <c:v>D.2</c:v>
                  </c:pt>
                  <c:pt idx="2">
                    <c:v>D.3</c:v>
                  </c:pt>
                  <c:pt idx="3">
                    <c:v>D.4</c:v>
                  </c:pt>
                </c:lvl>
              </c:multiLvlStrCache>
            </c:multiLvlStrRef>
          </c:cat>
          <c:val>
            <c:numRef>
              <c:f>'SYNTHE AUTO EVA'!$R$9:$U$9</c:f>
              <c:numCache>
                <c:formatCode>0%</c:formatCode>
                <c:ptCount val="4"/>
                <c:pt idx="0">
                  <c:v>0</c:v>
                </c:pt>
                <c:pt idx="1">
                  <c:v>0.46666666666666667</c:v>
                </c:pt>
                <c:pt idx="2">
                  <c:v>0.53333333333333333</c:v>
                </c:pt>
                <c:pt idx="3">
                  <c:v>0.8</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multiLvlStrRef>
              <c:f>'SYNTHE AUTO EVA'!$R$2:$U$3</c:f>
              <c:multiLvlStrCache>
                <c:ptCount val="4"/>
                <c:lvl>
                  <c:pt idx="0">
                    <c:v>EXPRESSION DES BESOINS EN INTRANTS</c:v>
                  </c:pt>
                  <c:pt idx="1">
                    <c:v>RECEPTION DES INTRANTS</c:v>
                  </c:pt>
                  <c:pt idx="2">
                    <c:v>DISTRIBUTION DES INTRANTS</c:v>
                  </c:pt>
                  <c:pt idx="3">
                    <c:v>RECEPTION DES INTRANTS PAR LES MEMBRES</c:v>
                  </c:pt>
                </c:lvl>
                <c:lvl>
                  <c:pt idx="0">
                    <c:v>D.1</c:v>
                  </c:pt>
                  <c:pt idx="1">
                    <c:v>D.2</c:v>
                  </c:pt>
                  <c:pt idx="2">
                    <c:v>D.3</c:v>
                  </c:pt>
                  <c:pt idx="3">
                    <c:v>D.4</c:v>
                  </c:pt>
                </c:lvl>
              </c:multiLvlStrCache>
            </c:multiLvlStrRef>
          </c:cat>
          <c:val>
            <c:numRef>
              <c:f>'SYNTHE AUTO EVA'!$R$10:$U$10</c:f>
              <c:numCache>
                <c:formatCode>0%</c:formatCode>
                <c:ptCount val="4"/>
                <c:pt idx="0">
                  <c:v>1</c:v>
                </c:pt>
                <c:pt idx="1">
                  <c:v>0.53333333333333333</c:v>
                </c:pt>
                <c:pt idx="2">
                  <c:v>0.46666666666666667</c:v>
                </c:pt>
                <c:pt idx="3">
                  <c:v>0.2</c:v>
                </c:pt>
              </c:numCache>
            </c:numRef>
          </c:val>
        </c:ser>
        <c:dLbls>
          <c:showLegendKey val="0"/>
          <c:showVal val="0"/>
          <c:showCatName val="0"/>
          <c:showSerName val="0"/>
          <c:showPercent val="0"/>
          <c:showBubbleSize val="0"/>
        </c:dLbls>
        <c:gapWidth val="150"/>
        <c:axId val="95184384"/>
        <c:axId val="95185920"/>
      </c:barChart>
      <c:catAx>
        <c:axId val="95184384"/>
        <c:scaling>
          <c:orientation val="minMax"/>
        </c:scaling>
        <c:delete val="0"/>
        <c:axPos val="b"/>
        <c:numFmt formatCode="General" sourceLinked="1"/>
        <c:majorTickMark val="out"/>
        <c:minorTickMark val="none"/>
        <c:tickLblPos val="nextTo"/>
        <c:crossAx val="95185920"/>
        <c:crosses val="autoZero"/>
        <c:auto val="1"/>
        <c:lblAlgn val="ctr"/>
        <c:lblOffset val="100"/>
        <c:noMultiLvlLbl val="0"/>
      </c:catAx>
      <c:valAx>
        <c:axId val="95185920"/>
        <c:scaling>
          <c:orientation val="minMax"/>
        </c:scaling>
        <c:delete val="0"/>
        <c:axPos val="l"/>
        <c:majorGridlines/>
        <c:numFmt formatCode="0%" sourceLinked="1"/>
        <c:majorTickMark val="out"/>
        <c:minorTickMark val="none"/>
        <c:tickLblPos val="nextTo"/>
        <c:crossAx val="95184384"/>
        <c:crosses val="autoZero"/>
        <c:crossBetween val="between"/>
      </c:valAx>
    </c:plotArea>
    <c:legend>
      <c:legendPos val="r"/>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002060">
                <a:alpha val="40000"/>
              </a:srgbClr>
            </a:solidFill>
          </c:spPr>
          <c:invertIfNegative val="0"/>
          <c:cat>
            <c:multiLvlStrRef>
              <c:f>'SYNTHE AUTO EVA'!$W$2:$AC$3</c:f>
              <c:multiLvlStrCache>
                <c:ptCount val="7"/>
                <c:lvl>
                  <c:pt idx="0">
                    <c:v>ORGANISATION A TEMPS DE LA COMMERCIALISATION</c:v>
                  </c:pt>
                  <c:pt idx="1">
                    <c:v>REVISION DES BASCULES</c:v>
                  </c:pt>
                  <c:pt idx="2">
                    <c:v>PARTICIPATION DES MEMBRES AU NETTOYAGE DES AIRES DE MARCHE</c:v>
                  </c:pt>
                  <c:pt idx="3">
                    <c:v>EXISTENCE DES FACTEURS DE COMMERCIALISATION EN QUANTITE SUFFISANTE</c:v>
                  </c:pt>
                  <c:pt idx="4">
                    <c:v>PAIEMENT DES PRODUCTEURS</c:v>
                  </c:pt>
                  <c:pt idx="5">
                    <c:v>ANIMATION DU MARCHE</c:v>
                  </c:pt>
                  <c:pt idx="6">
                    <c:v>COMMERCIALISATION</c:v>
                  </c:pt>
                </c:lvl>
                <c:lvl>
                  <c:pt idx="0">
                    <c:v>E.1</c:v>
                  </c:pt>
                  <c:pt idx="1">
                    <c:v>E.2</c:v>
                  </c:pt>
                  <c:pt idx="2">
                    <c:v>E.3</c:v>
                  </c:pt>
                  <c:pt idx="3">
                    <c:v>E.4</c:v>
                  </c:pt>
                  <c:pt idx="4">
                    <c:v>E.5</c:v>
                  </c:pt>
                  <c:pt idx="5">
                    <c:v>E.6</c:v>
                  </c:pt>
                  <c:pt idx="6">
                    <c:v>E</c:v>
                  </c:pt>
                </c:lvl>
              </c:multiLvlStrCache>
            </c:multiLvlStrRef>
          </c:cat>
          <c:val>
            <c:numRef>
              <c:f>'SYNTHE AUTO EVA'!$W$11:$AC$11</c:f>
              <c:numCache>
                <c:formatCode>0.00</c:formatCode>
                <c:ptCount val="7"/>
                <c:pt idx="0">
                  <c:v>3</c:v>
                </c:pt>
                <c:pt idx="1">
                  <c:v>3</c:v>
                </c:pt>
                <c:pt idx="2">
                  <c:v>3</c:v>
                </c:pt>
                <c:pt idx="3">
                  <c:v>1.4</c:v>
                </c:pt>
                <c:pt idx="4">
                  <c:v>3</c:v>
                </c:pt>
                <c:pt idx="5">
                  <c:v>3</c:v>
                </c:pt>
                <c:pt idx="6">
                  <c:v>2.7333333333333343</c:v>
                </c:pt>
              </c:numCache>
            </c:numRef>
          </c:val>
        </c:ser>
        <c:dLbls>
          <c:showLegendKey val="0"/>
          <c:showVal val="0"/>
          <c:showCatName val="0"/>
          <c:showSerName val="0"/>
          <c:showPercent val="0"/>
          <c:showBubbleSize val="0"/>
        </c:dLbls>
        <c:gapWidth val="150"/>
        <c:axId val="95214208"/>
        <c:axId val="95216000"/>
      </c:barChart>
      <c:catAx>
        <c:axId val="95214208"/>
        <c:scaling>
          <c:orientation val="minMax"/>
        </c:scaling>
        <c:delete val="0"/>
        <c:axPos val="b"/>
        <c:numFmt formatCode="General" sourceLinked="1"/>
        <c:majorTickMark val="out"/>
        <c:minorTickMark val="none"/>
        <c:tickLblPos val="nextTo"/>
        <c:crossAx val="95216000"/>
        <c:crosses val="autoZero"/>
        <c:auto val="1"/>
        <c:lblAlgn val="ctr"/>
        <c:lblOffset val="100"/>
        <c:noMultiLvlLbl val="0"/>
      </c:catAx>
      <c:valAx>
        <c:axId val="95216000"/>
        <c:scaling>
          <c:orientation val="minMax"/>
        </c:scaling>
        <c:delete val="0"/>
        <c:axPos val="l"/>
        <c:majorGridlines/>
        <c:numFmt formatCode="0.00" sourceLinked="1"/>
        <c:majorTickMark val="out"/>
        <c:minorTickMark val="none"/>
        <c:tickLblPos val="nextTo"/>
        <c:crossAx val="95214208"/>
        <c:crosses val="autoZero"/>
        <c:crossBetween val="between"/>
      </c:valAx>
    </c:plotArea>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50000"/>
              </a:srgbClr>
            </a:solidFill>
          </c:spPr>
          <c:invertIfNegative val="0"/>
          <c:cat>
            <c:multiLvlStrRef>
              <c:f>'SYNTHE AUTO EVA'!$W$2:$AB$3</c:f>
              <c:multiLvlStrCache>
                <c:ptCount val="6"/>
                <c:lvl>
                  <c:pt idx="0">
                    <c:v>ORGANISATION A TEMPS DE LA COMMERCIALISATION</c:v>
                  </c:pt>
                  <c:pt idx="1">
                    <c:v>REVISION DES BASCULES</c:v>
                  </c:pt>
                  <c:pt idx="2">
                    <c:v>PARTICIPATION DES MEMBRES AU NETTOYAGE DES AIRES DE MARCHE</c:v>
                  </c:pt>
                  <c:pt idx="3">
                    <c:v>EXISTENCE DES FACTEURS DE COMMERCIALISATION EN QUANTITE SUFFISANTE</c:v>
                  </c:pt>
                  <c:pt idx="4">
                    <c:v>PAIEMENT DES PRODUCTEURS</c:v>
                  </c:pt>
                  <c:pt idx="5">
                    <c:v>ANIMATION DU MARCHE</c:v>
                  </c:pt>
                </c:lvl>
                <c:lvl>
                  <c:pt idx="0">
                    <c:v>E.1</c:v>
                  </c:pt>
                  <c:pt idx="1">
                    <c:v>E.2</c:v>
                  </c:pt>
                  <c:pt idx="2">
                    <c:v>E.3</c:v>
                  </c:pt>
                  <c:pt idx="3">
                    <c:v>E.4</c:v>
                  </c:pt>
                  <c:pt idx="4">
                    <c:v>E.5</c:v>
                  </c:pt>
                  <c:pt idx="5">
                    <c:v>E.6</c:v>
                  </c:pt>
                </c:lvl>
              </c:multiLvlStrCache>
            </c:multiLvlStrRef>
          </c:cat>
          <c:val>
            <c:numRef>
              <c:f>'SYNTHE AUTO EVA'!$W$8:$AB$8</c:f>
              <c:numCache>
                <c:formatCode>0%</c:formatCode>
                <c:ptCount val="6"/>
                <c:pt idx="0">
                  <c:v>0</c:v>
                </c:pt>
                <c:pt idx="1">
                  <c:v>0</c:v>
                </c:pt>
                <c:pt idx="2">
                  <c:v>0</c:v>
                </c:pt>
                <c:pt idx="3">
                  <c:v>0.6</c:v>
                </c:pt>
                <c:pt idx="4">
                  <c:v>0</c:v>
                </c:pt>
                <c:pt idx="5">
                  <c:v>0</c:v>
                </c:pt>
              </c:numCache>
            </c:numRef>
          </c:val>
        </c:ser>
        <c:ser>
          <c:idx val="1"/>
          <c:order val="1"/>
          <c:tx>
            <c:strRef>
              <c:f>'SYNTHE AUTO EVA'!$A$9</c:f>
              <c:strCache>
                <c:ptCount val="1"/>
                <c:pt idx="0">
                  <c:v>% de CVPC ayant une performance moyenne (++)</c:v>
                </c:pt>
              </c:strCache>
            </c:strRef>
          </c:tx>
          <c:spPr>
            <a:solidFill>
              <a:srgbClr val="FFFF00">
                <a:alpha val="50000"/>
              </a:srgbClr>
            </a:solidFill>
          </c:spPr>
          <c:invertIfNegative val="0"/>
          <c:cat>
            <c:multiLvlStrRef>
              <c:f>'SYNTHE AUTO EVA'!$W$2:$AB$3</c:f>
              <c:multiLvlStrCache>
                <c:ptCount val="6"/>
                <c:lvl>
                  <c:pt idx="0">
                    <c:v>ORGANISATION A TEMPS DE LA COMMERCIALISATION</c:v>
                  </c:pt>
                  <c:pt idx="1">
                    <c:v>REVISION DES BASCULES</c:v>
                  </c:pt>
                  <c:pt idx="2">
                    <c:v>PARTICIPATION DES MEMBRES AU NETTOYAGE DES AIRES DE MARCHE</c:v>
                  </c:pt>
                  <c:pt idx="3">
                    <c:v>EXISTENCE DES FACTEURS DE COMMERCIALISATION EN QUANTITE SUFFISANTE</c:v>
                  </c:pt>
                  <c:pt idx="4">
                    <c:v>PAIEMENT DES PRODUCTEURS</c:v>
                  </c:pt>
                  <c:pt idx="5">
                    <c:v>ANIMATION DU MARCHE</c:v>
                  </c:pt>
                </c:lvl>
                <c:lvl>
                  <c:pt idx="0">
                    <c:v>E.1</c:v>
                  </c:pt>
                  <c:pt idx="1">
                    <c:v>E.2</c:v>
                  </c:pt>
                  <c:pt idx="2">
                    <c:v>E.3</c:v>
                  </c:pt>
                  <c:pt idx="3">
                    <c:v>E.4</c:v>
                  </c:pt>
                  <c:pt idx="4">
                    <c:v>E.5</c:v>
                  </c:pt>
                  <c:pt idx="5">
                    <c:v>E.6</c:v>
                  </c:pt>
                </c:lvl>
              </c:multiLvlStrCache>
            </c:multiLvlStrRef>
          </c:cat>
          <c:val>
            <c:numRef>
              <c:f>'SYNTHE AUTO EVA'!$W$9:$AB$9</c:f>
              <c:numCache>
                <c:formatCode>0%</c:formatCode>
                <c:ptCount val="6"/>
                <c:pt idx="0">
                  <c:v>0</c:v>
                </c:pt>
                <c:pt idx="1">
                  <c:v>0</c:v>
                </c:pt>
                <c:pt idx="2">
                  <c:v>0</c:v>
                </c:pt>
                <c:pt idx="3">
                  <c:v>0.4</c:v>
                </c:pt>
                <c:pt idx="4">
                  <c:v>0</c:v>
                </c:pt>
                <c:pt idx="5">
                  <c:v>0</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multiLvlStrRef>
              <c:f>'SYNTHE AUTO EVA'!$W$2:$AB$3</c:f>
              <c:multiLvlStrCache>
                <c:ptCount val="6"/>
                <c:lvl>
                  <c:pt idx="0">
                    <c:v>ORGANISATION A TEMPS DE LA COMMERCIALISATION</c:v>
                  </c:pt>
                  <c:pt idx="1">
                    <c:v>REVISION DES BASCULES</c:v>
                  </c:pt>
                  <c:pt idx="2">
                    <c:v>PARTICIPATION DES MEMBRES AU NETTOYAGE DES AIRES DE MARCHE</c:v>
                  </c:pt>
                  <c:pt idx="3">
                    <c:v>EXISTENCE DES FACTEURS DE COMMERCIALISATION EN QUANTITE SUFFISANTE</c:v>
                  </c:pt>
                  <c:pt idx="4">
                    <c:v>PAIEMENT DES PRODUCTEURS</c:v>
                  </c:pt>
                  <c:pt idx="5">
                    <c:v>ANIMATION DU MARCHE</c:v>
                  </c:pt>
                </c:lvl>
                <c:lvl>
                  <c:pt idx="0">
                    <c:v>E.1</c:v>
                  </c:pt>
                  <c:pt idx="1">
                    <c:v>E.2</c:v>
                  </c:pt>
                  <c:pt idx="2">
                    <c:v>E.3</c:v>
                  </c:pt>
                  <c:pt idx="3">
                    <c:v>E.4</c:v>
                  </c:pt>
                  <c:pt idx="4">
                    <c:v>E.5</c:v>
                  </c:pt>
                  <c:pt idx="5">
                    <c:v>E.6</c:v>
                  </c:pt>
                </c:lvl>
              </c:multiLvlStrCache>
            </c:multiLvlStrRef>
          </c:cat>
          <c:val>
            <c:numRef>
              <c:f>'SYNTHE AUTO EVA'!$W$10:$AB$10</c:f>
              <c:numCache>
                <c:formatCode>0%</c:formatCode>
                <c:ptCount val="6"/>
                <c:pt idx="0">
                  <c:v>1</c:v>
                </c:pt>
                <c:pt idx="1">
                  <c:v>1</c:v>
                </c:pt>
                <c:pt idx="2">
                  <c:v>1</c:v>
                </c:pt>
                <c:pt idx="3">
                  <c:v>0</c:v>
                </c:pt>
                <c:pt idx="4">
                  <c:v>1</c:v>
                </c:pt>
                <c:pt idx="5">
                  <c:v>1</c:v>
                </c:pt>
              </c:numCache>
            </c:numRef>
          </c:val>
        </c:ser>
        <c:dLbls>
          <c:showLegendKey val="0"/>
          <c:showVal val="0"/>
          <c:showCatName val="0"/>
          <c:showSerName val="0"/>
          <c:showPercent val="0"/>
          <c:showBubbleSize val="0"/>
        </c:dLbls>
        <c:gapWidth val="150"/>
        <c:axId val="94995584"/>
        <c:axId val="94997120"/>
      </c:barChart>
      <c:catAx>
        <c:axId val="94995584"/>
        <c:scaling>
          <c:orientation val="minMax"/>
        </c:scaling>
        <c:delete val="0"/>
        <c:axPos val="b"/>
        <c:numFmt formatCode="General" sourceLinked="1"/>
        <c:majorTickMark val="out"/>
        <c:minorTickMark val="none"/>
        <c:tickLblPos val="nextTo"/>
        <c:crossAx val="94997120"/>
        <c:crosses val="autoZero"/>
        <c:auto val="1"/>
        <c:lblAlgn val="ctr"/>
        <c:lblOffset val="100"/>
        <c:noMultiLvlLbl val="0"/>
      </c:catAx>
      <c:valAx>
        <c:axId val="94997120"/>
        <c:scaling>
          <c:orientation val="minMax"/>
        </c:scaling>
        <c:delete val="0"/>
        <c:axPos val="l"/>
        <c:majorGridlines/>
        <c:numFmt formatCode="0%" sourceLinked="1"/>
        <c:majorTickMark val="out"/>
        <c:minorTickMark val="none"/>
        <c:tickLblPos val="nextTo"/>
        <c:crossAx val="94995584"/>
        <c:crosses val="autoZero"/>
        <c:crossBetween val="between"/>
      </c:valAx>
    </c:plotArea>
    <c:legend>
      <c:legendPos val="r"/>
      <c:overlay val="0"/>
    </c:legend>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002060">
                <a:alpha val="40000"/>
              </a:srgbClr>
            </a:solidFill>
          </c:spPr>
          <c:invertIfNegative val="0"/>
          <c:cat>
            <c:multiLvlStrRef>
              <c:f>'SYNTHE AUTO EVA'!$AD$2:$AG$3</c:f>
              <c:multiLvlStrCache>
                <c:ptCount val="4"/>
                <c:lvl>
                  <c:pt idx="0">
                    <c:v>INFORMATION DES MEMBRES</c:v>
                  </c:pt>
                  <c:pt idx="1">
                    <c:v>REPRESENTATION</c:v>
                  </c:pt>
                  <c:pt idx="2">
                    <c:v>RECONTRE D'ECHANGE D'INFORMATIONS</c:v>
                  </c:pt>
                  <c:pt idx="3">
                    <c:v>CAPACITE STRATEGIQUES</c:v>
                  </c:pt>
                </c:lvl>
                <c:lvl>
                  <c:pt idx="0">
                    <c:v>F.1</c:v>
                  </c:pt>
                  <c:pt idx="1">
                    <c:v>F.2</c:v>
                  </c:pt>
                  <c:pt idx="2">
                    <c:v>F.3</c:v>
                  </c:pt>
                  <c:pt idx="3">
                    <c:v>F</c:v>
                  </c:pt>
                </c:lvl>
              </c:multiLvlStrCache>
            </c:multiLvlStrRef>
          </c:cat>
          <c:val>
            <c:numRef>
              <c:f>'SYNTHE AUTO EVA'!$AD$11:$AG$11</c:f>
              <c:numCache>
                <c:formatCode>0.00</c:formatCode>
                <c:ptCount val="4"/>
                <c:pt idx="0">
                  <c:v>1.6666666666666667</c:v>
                </c:pt>
                <c:pt idx="1">
                  <c:v>1.6666666666666667</c:v>
                </c:pt>
                <c:pt idx="2">
                  <c:v>1.5333333333333334</c:v>
                </c:pt>
                <c:pt idx="3">
                  <c:v>1.622222222222222</c:v>
                </c:pt>
              </c:numCache>
            </c:numRef>
          </c:val>
        </c:ser>
        <c:dLbls>
          <c:showLegendKey val="0"/>
          <c:showVal val="0"/>
          <c:showCatName val="0"/>
          <c:showSerName val="0"/>
          <c:showPercent val="0"/>
          <c:showBubbleSize val="0"/>
        </c:dLbls>
        <c:gapWidth val="150"/>
        <c:axId val="95018368"/>
        <c:axId val="95020160"/>
      </c:barChart>
      <c:catAx>
        <c:axId val="95018368"/>
        <c:scaling>
          <c:orientation val="minMax"/>
        </c:scaling>
        <c:delete val="0"/>
        <c:axPos val="b"/>
        <c:numFmt formatCode="General" sourceLinked="1"/>
        <c:majorTickMark val="out"/>
        <c:minorTickMark val="none"/>
        <c:tickLblPos val="nextTo"/>
        <c:crossAx val="95020160"/>
        <c:crosses val="autoZero"/>
        <c:auto val="1"/>
        <c:lblAlgn val="ctr"/>
        <c:lblOffset val="100"/>
        <c:noMultiLvlLbl val="0"/>
      </c:catAx>
      <c:valAx>
        <c:axId val="95020160"/>
        <c:scaling>
          <c:orientation val="minMax"/>
        </c:scaling>
        <c:delete val="0"/>
        <c:axPos val="l"/>
        <c:majorGridlines/>
        <c:numFmt formatCode="0.00" sourceLinked="1"/>
        <c:majorTickMark val="out"/>
        <c:minorTickMark val="none"/>
        <c:tickLblPos val="nextTo"/>
        <c:crossAx val="95018368"/>
        <c:crosses val="autoZero"/>
        <c:crossBetween val="between"/>
      </c:valAx>
    </c:plotArea>
    <c:plotVisOnly val="1"/>
    <c:dispBlanksAs val="gap"/>
    <c:showDLblsOverMax val="0"/>
  </c:chart>
  <c:printSettings>
    <c:headerFooter/>
    <c:pageMargins b="0.75000000000000466" l="0.70000000000000062" r="0.70000000000000062" t="0.75000000000000466"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alpha val="50000"/>
              </a:srgbClr>
            </a:solidFill>
          </c:spPr>
          <c:invertIfNegative val="0"/>
          <c:cat>
            <c:multiLvlStrRef>
              <c:f>'SYNTHE AUTO EVA'!$AD$2:$AF$3</c:f>
              <c:multiLvlStrCache>
                <c:ptCount val="3"/>
                <c:lvl>
                  <c:pt idx="0">
                    <c:v>INFORMATION DES MEMBRES</c:v>
                  </c:pt>
                  <c:pt idx="1">
                    <c:v>REPRESENTATION</c:v>
                  </c:pt>
                  <c:pt idx="2">
                    <c:v>RECONTRE D'ECHANGE D'INFORMATIONS</c:v>
                  </c:pt>
                </c:lvl>
                <c:lvl>
                  <c:pt idx="0">
                    <c:v>F.1</c:v>
                  </c:pt>
                  <c:pt idx="1">
                    <c:v>F.2</c:v>
                  </c:pt>
                  <c:pt idx="2">
                    <c:v>F.3</c:v>
                  </c:pt>
                </c:lvl>
              </c:multiLvlStrCache>
            </c:multiLvlStrRef>
          </c:cat>
          <c:val>
            <c:numRef>
              <c:f>'SYNTHE AUTO EVA'!$AD$8:$AF$8</c:f>
              <c:numCache>
                <c:formatCode>0%</c:formatCode>
                <c:ptCount val="3"/>
                <c:pt idx="0">
                  <c:v>0.33333333333333331</c:v>
                </c:pt>
                <c:pt idx="1">
                  <c:v>0.33333333333333331</c:v>
                </c:pt>
                <c:pt idx="2">
                  <c:v>0.46666666666666667</c:v>
                </c:pt>
              </c:numCache>
            </c:numRef>
          </c:val>
        </c:ser>
        <c:ser>
          <c:idx val="1"/>
          <c:order val="1"/>
          <c:tx>
            <c:strRef>
              <c:f>'SYNTHE AUTO EVA'!$A$9</c:f>
              <c:strCache>
                <c:ptCount val="1"/>
                <c:pt idx="0">
                  <c:v>% de CVPC ayant une performance moyenne (++)</c:v>
                </c:pt>
              </c:strCache>
            </c:strRef>
          </c:tx>
          <c:spPr>
            <a:solidFill>
              <a:srgbClr val="FFFF00">
                <a:alpha val="50000"/>
              </a:srgbClr>
            </a:solidFill>
          </c:spPr>
          <c:invertIfNegative val="0"/>
          <c:cat>
            <c:multiLvlStrRef>
              <c:f>'SYNTHE AUTO EVA'!$AD$2:$AF$3</c:f>
              <c:multiLvlStrCache>
                <c:ptCount val="3"/>
                <c:lvl>
                  <c:pt idx="0">
                    <c:v>INFORMATION DES MEMBRES</c:v>
                  </c:pt>
                  <c:pt idx="1">
                    <c:v>REPRESENTATION</c:v>
                  </c:pt>
                  <c:pt idx="2">
                    <c:v>RECONTRE D'ECHANGE D'INFORMATIONS</c:v>
                  </c:pt>
                </c:lvl>
                <c:lvl>
                  <c:pt idx="0">
                    <c:v>F.1</c:v>
                  </c:pt>
                  <c:pt idx="1">
                    <c:v>F.2</c:v>
                  </c:pt>
                  <c:pt idx="2">
                    <c:v>F.3</c:v>
                  </c:pt>
                </c:lvl>
              </c:multiLvlStrCache>
            </c:multiLvlStrRef>
          </c:cat>
          <c:val>
            <c:numRef>
              <c:f>'SYNTHE AUTO EVA'!$AD$9:$AF$9</c:f>
              <c:numCache>
                <c:formatCode>0%</c:formatCode>
                <c:ptCount val="3"/>
                <c:pt idx="0">
                  <c:v>0.66666666666666663</c:v>
                </c:pt>
                <c:pt idx="1">
                  <c:v>0.66666666666666663</c:v>
                </c:pt>
                <c:pt idx="2">
                  <c:v>0.53333333333333333</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multiLvlStrRef>
              <c:f>'SYNTHE AUTO EVA'!$AD$2:$AF$3</c:f>
              <c:multiLvlStrCache>
                <c:ptCount val="3"/>
                <c:lvl>
                  <c:pt idx="0">
                    <c:v>INFORMATION DES MEMBRES</c:v>
                  </c:pt>
                  <c:pt idx="1">
                    <c:v>REPRESENTATION</c:v>
                  </c:pt>
                  <c:pt idx="2">
                    <c:v>RECONTRE D'ECHANGE D'INFORMATIONS</c:v>
                  </c:pt>
                </c:lvl>
                <c:lvl>
                  <c:pt idx="0">
                    <c:v>F.1</c:v>
                  </c:pt>
                  <c:pt idx="1">
                    <c:v>F.2</c:v>
                  </c:pt>
                  <c:pt idx="2">
                    <c:v>F.3</c:v>
                  </c:pt>
                </c:lvl>
              </c:multiLvlStrCache>
            </c:multiLvlStrRef>
          </c:cat>
          <c:val>
            <c:numRef>
              <c:f>'SYNTHE AUTO EVA'!$AD$10:$AF$10</c:f>
              <c:numCache>
                <c:formatCode>0%</c:formatCode>
                <c:ptCount val="3"/>
                <c:pt idx="0">
                  <c:v>0</c:v>
                </c:pt>
                <c:pt idx="1">
                  <c:v>0</c:v>
                </c:pt>
                <c:pt idx="2">
                  <c:v>0</c:v>
                </c:pt>
              </c:numCache>
            </c:numRef>
          </c:val>
        </c:ser>
        <c:dLbls>
          <c:showLegendKey val="0"/>
          <c:showVal val="0"/>
          <c:showCatName val="0"/>
          <c:showSerName val="0"/>
          <c:showPercent val="0"/>
          <c:showBubbleSize val="0"/>
        </c:dLbls>
        <c:gapWidth val="150"/>
        <c:axId val="95054080"/>
        <c:axId val="95055872"/>
      </c:barChart>
      <c:catAx>
        <c:axId val="95054080"/>
        <c:scaling>
          <c:orientation val="minMax"/>
        </c:scaling>
        <c:delete val="0"/>
        <c:axPos val="b"/>
        <c:numFmt formatCode="General" sourceLinked="1"/>
        <c:majorTickMark val="out"/>
        <c:minorTickMark val="none"/>
        <c:tickLblPos val="nextTo"/>
        <c:crossAx val="95055872"/>
        <c:crosses val="autoZero"/>
        <c:auto val="1"/>
        <c:lblAlgn val="ctr"/>
        <c:lblOffset val="100"/>
        <c:noMultiLvlLbl val="0"/>
      </c:catAx>
      <c:valAx>
        <c:axId val="95055872"/>
        <c:scaling>
          <c:orientation val="minMax"/>
        </c:scaling>
        <c:delete val="0"/>
        <c:axPos val="l"/>
        <c:majorGridlines/>
        <c:numFmt formatCode="0%" sourceLinked="1"/>
        <c:majorTickMark val="out"/>
        <c:minorTickMark val="none"/>
        <c:tickLblPos val="nextTo"/>
        <c:crossAx val="95054080"/>
        <c:crosses val="autoZero"/>
        <c:crossBetween val="between"/>
      </c:valAx>
    </c:plotArea>
    <c:legend>
      <c:legendPos val="r"/>
      <c:overlay val="0"/>
    </c:legend>
    <c:plotVisOnly val="1"/>
    <c:dispBlanksAs val="gap"/>
    <c:showDLblsOverMax val="0"/>
  </c:chart>
  <c:printSettings>
    <c:headerFooter/>
    <c:pageMargins b="0.75000000000000466" l="0.70000000000000062" r="0.70000000000000062" t="0.75000000000000466"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ORGANISATION</a:t>
            </a:r>
            <a:r>
              <a:rPr lang="en-US" sz="1400" baseline="0">
                <a:latin typeface="Arial Narrow" pitchFamily="34" charset="0"/>
              </a:rPr>
              <a:t> INTERNE</a:t>
            </a:r>
            <a:endParaRPr lang="en-US" sz="1400">
              <a:latin typeface="Arial Narrow" pitchFamily="34" charset="0"/>
            </a:endParaRPr>
          </a:p>
        </c:rich>
      </c:tx>
      <c:overlay val="0"/>
    </c:title>
    <c:autoTitleDeleted val="0"/>
    <c:plotArea>
      <c:layout/>
      <c:barChart>
        <c:barDir val="col"/>
        <c:grouping val="clustered"/>
        <c:varyColors val="0"/>
        <c:ser>
          <c:idx val="0"/>
          <c:order val="0"/>
          <c:tx>
            <c:strRef>
              <c:f>'SYNTHE AUTO EVA'!$I$2:$I$4</c:f>
              <c:strCache>
                <c:ptCount val="1"/>
                <c:pt idx="0">
                  <c:v>A GOUVERNANCE GOUVERNANCE</c:v>
                </c:pt>
              </c:strCache>
            </c:strRef>
          </c:tx>
          <c:spPr>
            <a:solidFill>
              <a:srgbClr val="002060">
                <a:alpha val="40000"/>
              </a:srgbClr>
            </a:solidFill>
          </c:spPr>
          <c:invertIfNegative val="0"/>
          <c:dPt>
            <c:idx val="0"/>
            <c:invertIfNegative val="0"/>
            <c:bubble3D val="0"/>
            <c:spPr>
              <a:solidFill>
                <a:srgbClr val="FFFF00">
                  <a:alpha val="40000"/>
                </a:srgbClr>
              </a:solidFill>
            </c:spPr>
          </c:dPt>
          <c:dPt>
            <c:idx val="1"/>
            <c:invertIfNegative val="0"/>
            <c:bubble3D val="0"/>
            <c:spPr>
              <a:solidFill>
                <a:srgbClr val="FF0000">
                  <a:alpha val="40000"/>
                </a:srgbClr>
              </a:solidFill>
            </c:spPr>
          </c:dPt>
          <c:dPt>
            <c:idx val="2"/>
            <c:invertIfNegative val="0"/>
            <c:bubble3D val="0"/>
            <c:spPr>
              <a:solidFill>
                <a:srgbClr val="FF0000">
                  <a:alpha val="40000"/>
                </a:srgbClr>
              </a:solidFill>
            </c:spPr>
          </c:dPt>
          <c:dPt>
            <c:idx val="3"/>
            <c:invertIfNegative val="0"/>
            <c:bubble3D val="0"/>
            <c:spPr>
              <a:solidFill>
                <a:srgbClr val="FFFF00">
                  <a:alpha val="40000"/>
                </a:srgbClr>
              </a:solidFill>
            </c:spPr>
          </c:dPt>
          <c:dPt>
            <c:idx val="4"/>
            <c:invertIfNegative val="0"/>
            <c:bubble3D val="0"/>
            <c:spPr>
              <a:solidFill>
                <a:srgbClr val="00B050">
                  <a:alpha val="40000"/>
                </a:srgbClr>
              </a:solidFill>
            </c:spPr>
          </c:dPt>
          <c:dPt>
            <c:idx val="5"/>
            <c:invertIfNegative val="0"/>
            <c:bubble3D val="0"/>
            <c:spPr>
              <a:solidFill>
                <a:srgbClr val="00B050">
                  <a:alpha val="40000"/>
                </a:srgbClr>
              </a:solidFill>
            </c:spPr>
          </c:dPt>
          <c:cat>
            <c:strRef>
              <c:f>'SYNTHE AUTO EVA'!$B$12:$B$26</c:f>
              <c:strCache>
                <c:ptCount val="15"/>
                <c:pt idx="0">
                  <c:v>BADOU (Nassiara)</c:v>
                </c:pt>
                <c:pt idx="1">
                  <c:v>BORO</c:v>
                </c:pt>
                <c:pt idx="2">
                  <c:v>BOUYANGOUROU A</c:v>
                </c:pt>
                <c:pt idx="3">
                  <c:v>FANA</c:v>
                </c:pt>
                <c:pt idx="4">
                  <c:v>GAMAGOU CENTRE</c:v>
                </c:pt>
                <c:pt idx="5">
                  <c:v>GOUNAROU 1</c:v>
                </c:pt>
                <c:pt idx="6">
                  <c:v>GOUNAROU 2</c:v>
                </c:pt>
                <c:pt idx="7">
                  <c:v>KALI (Antissua)</c:v>
                </c:pt>
                <c:pt idx="8">
                  <c:v>KANTAKPARA 1</c:v>
                </c:pt>
                <c:pt idx="9">
                  <c:v>OUERE 2</c:v>
                </c:pt>
                <c:pt idx="10">
                  <c:v>OUESSENE 1</c:v>
                </c:pt>
                <c:pt idx="11">
                  <c:v>SOROU</c:v>
                </c:pt>
                <c:pt idx="12">
                  <c:v>WARA 2</c:v>
                </c:pt>
                <c:pt idx="13">
                  <c:v>WOROUWODOU</c:v>
                </c:pt>
                <c:pt idx="14">
                  <c:v>YAKOUBAROU</c:v>
                </c:pt>
              </c:strCache>
            </c:strRef>
          </c:cat>
          <c:val>
            <c:numRef>
              <c:f>'SYNTHE AUTO EVA'!$I$12:$I$26</c:f>
              <c:numCache>
                <c:formatCode>0.00</c:formatCode>
                <c:ptCount val="15"/>
                <c:pt idx="0">
                  <c:v>1.3333333333333333</c:v>
                </c:pt>
                <c:pt idx="1">
                  <c:v>1.1666666666666667</c:v>
                </c:pt>
                <c:pt idx="2">
                  <c:v>1.6666666666666667</c:v>
                </c:pt>
                <c:pt idx="3">
                  <c:v>2</c:v>
                </c:pt>
                <c:pt idx="4">
                  <c:v>2</c:v>
                </c:pt>
                <c:pt idx="5">
                  <c:v>1.6666666666666667</c:v>
                </c:pt>
                <c:pt idx="6">
                  <c:v>1.6666666666666667</c:v>
                </c:pt>
                <c:pt idx="7">
                  <c:v>1.6666666666666667</c:v>
                </c:pt>
                <c:pt idx="8">
                  <c:v>1.6666666666666667</c:v>
                </c:pt>
                <c:pt idx="9">
                  <c:v>1.3333333333333333</c:v>
                </c:pt>
                <c:pt idx="10">
                  <c:v>2.3333333333333335</c:v>
                </c:pt>
                <c:pt idx="11">
                  <c:v>1.6666666666666667</c:v>
                </c:pt>
                <c:pt idx="12">
                  <c:v>1.6666666666666667</c:v>
                </c:pt>
                <c:pt idx="13">
                  <c:v>1.8333333333333333</c:v>
                </c:pt>
                <c:pt idx="14">
                  <c:v>2</c:v>
                </c:pt>
              </c:numCache>
            </c:numRef>
          </c:val>
        </c:ser>
        <c:dLbls>
          <c:showLegendKey val="0"/>
          <c:showVal val="0"/>
          <c:showCatName val="0"/>
          <c:showSerName val="0"/>
          <c:showPercent val="0"/>
          <c:showBubbleSize val="0"/>
        </c:dLbls>
        <c:gapWidth val="150"/>
        <c:axId val="94419200"/>
        <c:axId val="94420992"/>
      </c:barChart>
      <c:catAx>
        <c:axId val="94419200"/>
        <c:scaling>
          <c:orientation val="minMax"/>
        </c:scaling>
        <c:delete val="0"/>
        <c:axPos val="b"/>
        <c:numFmt formatCode="General" sourceLinked="1"/>
        <c:majorTickMark val="out"/>
        <c:minorTickMark val="none"/>
        <c:tickLblPos val="nextTo"/>
        <c:crossAx val="94420992"/>
        <c:crosses val="autoZero"/>
        <c:auto val="1"/>
        <c:lblAlgn val="ctr"/>
        <c:lblOffset val="100"/>
        <c:noMultiLvlLbl val="0"/>
      </c:catAx>
      <c:valAx>
        <c:axId val="94420992"/>
        <c:scaling>
          <c:orientation val="minMax"/>
          <c:max val="3"/>
        </c:scaling>
        <c:delete val="0"/>
        <c:axPos val="l"/>
        <c:majorGridlines/>
        <c:numFmt formatCode="0.00" sourceLinked="1"/>
        <c:majorTickMark val="out"/>
        <c:minorTickMark val="out"/>
        <c:tickLblPos val="nextTo"/>
        <c:crossAx val="94419200"/>
        <c:crosses val="autoZero"/>
        <c:crossBetween val="between"/>
        <c:majorUnit val="0.75000000000000366"/>
        <c:minorUnit val="0.25"/>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GESTION DES RESSOURCES</a:t>
            </a:r>
          </a:p>
        </c:rich>
      </c:tx>
      <c:overlay val="0"/>
    </c:title>
    <c:autoTitleDeleted val="0"/>
    <c:plotArea>
      <c:layout/>
      <c:barChart>
        <c:barDir val="col"/>
        <c:grouping val="clustered"/>
        <c:varyColors val="0"/>
        <c:ser>
          <c:idx val="0"/>
          <c:order val="0"/>
          <c:tx>
            <c:strRef>
              <c:f>'SYNTHE AUTO EVA'!$M$4</c:f>
              <c:strCache>
                <c:ptCount val="1"/>
                <c:pt idx="0">
                  <c:v>GESTION DES RESSOURCES</c:v>
                </c:pt>
              </c:strCache>
            </c:strRef>
          </c:tx>
          <c:spPr>
            <a:solidFill>
              <a:srgbClr val="002060">
                <a:alpha val="40000"/>
              </a:srgbClr>
            </a:solidFill>
          </c:spPr>
          <c:invertIfNegative val="0"/>
          <c:dPt>
            <c:idx val="0"/>
            <c:invertIfNegative val="0"/>
            <c:bubble3D val="0"/>
            <c:spPr>
              <a:solidFill>
                <a:srgbClr val="FFFF00">
                  <a:alpha val="40000"/>
                </a:srgbClr>
              </a:solidFill>
            </c:spPr>
          </c:dPt>
          <c:dPt>
            <c:idx val="1"/>
            <c:invertIfNegative val="0"/>
            <c:bubble3D val="0"/>
            <c:spPr>
              <a:solidFill>
                <a:srgbClr val="FF0000">
                  <a:alpha val="40000"/>
                </a:srgbClr>
              </a:solidFill>
            </c:spPr>
          </c:dPt>
          <c:dPt>
            <c:idx val="2"/>
            <c:invertIfNegative val="0"/>
            <c:bubble3D val="0"/>
            <c:spPr>
              <a:solidFill>
                <a:srgbClr val="FF0000">
                  <a:alpha val="40000"/>
                </a:srgbClr>
              </a:solidFill>
            </c:spPr>
          </c:dPt>
          <c:dPt>
            <c:idx val="3"/>
            <c:invertIfNegative val="0"/>
            <c:bubble3D val="0"/>
            <c:spPr>
              <a:solidFill>
                <a:srgbClr val="FFFF00">
                  <a:alpha val="40000"/>
                </a:srgbClr>
              </a:solidFill>
            </c:spPr>
          </c:dPt>
          <c:dPt>
            <c:idx val="4"/>
            <c:invertIfNegative val="0"/>
            <c:bubble3D val="0"/>
            <c:spPr>
              <a:solidFill>
                <a:srgbClr val="00B050">
                  <a:alpha val="40000"/>
                </a:srgbClr>
              </a:solidFill>
            </c:spPr>
          </c:dPt>
          <c:dPt>
            <c:idx val="5"/>
            <c:invertIfNegative val="0"/>
            <c:bubble3D val="0"/>
            <c:spPr>
              <a:solidFill>
                <a:srgbClr val="00B050">
                  <a:alpha val="40000"/>
                </a:srgbClr>
              </a:solidFill>
            </c:spPr>
          </c:dPt>
          <c:cat>
            <c:strRef>
              <c:f>'SYNTHE AUTO EVA'!$B$12:$B$26</c:f>
              <c:strCache>
                <c:ptCount val="15"/>
                <c:pt idx="0">
                  <c:v>BADOU (Nassiara)</c:v>
                </c:pt>
                <c:pt idx="1">
                  <c:v>BORO</c:v>
                </c:pt>
                <c:pt idx="2">
                  <c:v>BOUYANGOUROU A</c:v>
                </c:pt>
                <c:pt idx="3">
                  <c:v>FANA</c:v>
                </c:pt>
                <c:pt idx="4">
                  <c:v>GAMAGOU CENTRE</c:v>
                </c:pt>
                <c:pt idx="5">
                  <c:v>GOUNAROU 1</c:v>
                </c:pt>
                <c:pt idx="6">
                  <c:v>GOUNAROU 2</c:v>
                </c:pt>
                <c:pt idx="7">
                  <c:v>KALI (Antissua)</c:v>
                </c:pt>
                <c:pt idx="8">
                  <c:v>KANTAKPARA 1</c:v>
                </c:pt>
                <c:pt idx="9">
                  <c:v>OUERE 2</c:v>
                </c:pt>
                <c:pt idx="10">
                  <c:v>OUESSENE 1</c:v>
                </c:pt>
                <c:pt idx="11">
                  <c:v>SOROU</c:v>
                </c:pt>
                <c:pt idx="12">
                  <c:v>WARA 2</c:v>
                </c:pt>
                <c:pt idx="13">
                  <c:v>WOROUWODOU</c:v>
                </c:pt>
                <c:pt idx="14">
                  <c:v>YAKOUBAROU</c:v>
                </c:pt>
              </c:strCache>
            </c:strRef>
          </c:cat>
          <c:val>
            <c:numRef>
              <c:f>'SYNTHE AUTO EVA'!$M$12:$M$26</c:f>
              <c:numCache>
                <c:formatCode>0.00</c:formatCode>
                <c:ptCount val="15"/>
                <c:pt idx="0">
                  <c:v>2</c:v>
                </c:pt>
                <c:pt idx="1">
                  <c:v>1.6666666666666667</c:v>
                </c:pt>
                <c:pt idx="2">
                  <c:v>1.6666666666666667</c:v>
                </c:pt>
                <c:pt idx="3">
                  <c:v>2</c:v>
                </c:pt>
                <c:pt idx="4">
                  <c:v>2</c:v>
                </c:pt>
                <c:pt idx="5">
                  <c:v>2</c:v>
                </c:pt>
                <c:pt idx="6">
                  <c:v>2</c:v>
                </c:pt>
                <c:pt idx="7">
                  <c:v>2.3333333333333335</c:v>
                </c:pt>
                <c:pt idx="8">
                  <c:v>2.3333333333333335</c:v>
                </c:pt>
                <c:pt idx="9">
                  <c:v>2.3333333333333335</c:v>
                </c:pt>
                <c:pt idx="10">
                  <c:v>2.6666666666666665</c:v>
                </c:pt>
                <c:pt idx="11">
                  <c:v>2.3333333333333335</c:v>
                </c:pt>
                <c:pt idx="12">
                  <c:v>2.3333333333333335</c:v>
                </c:pt>
                <c:pt idx="13">
                  <c:v>2</c:v>
                </c:pt>
                <c:pt idx="14">
                  <c:v>2.3333333333333335</c:v>
                </c:pt>
              </c:numCache>
            </c:numRef>
          </c:val>
        </c:ser>
        <c:dLbls>
          <c:showLegendKey val="0"/>
          <c:showVal val="0"/>
          <c:showCatName val="0"/>
          <c:showSerName val="0"/>
          <c:showPercent val="0"/>
          <c:showBubbleSize val="0"/>
        </c:dLbls>
        <c:gapWidth val="150"/>
        <c:axId val="94464256"/>
        <c:axId val="94470144"/>
      </c:barChart>
      <c:catAx>
        <c:axId val="94464256"/>
        <c:scaling>
          <c:orientation val="minMax"/>
        </c:scaling>
        <c:delete val="0"/>
        <c:axPos val="b"/>
        <c:numFmt formatCode="General" sourceLinked="1"/>
        <c:majorTickMark val="out"/>
        <c:minorTickMark val="none"/>
        <c:tickLblPos val="nextTo"/>
        <c:crossAx val="94470144"/>
        <c:crosses val="autoZero"/>
        <c:auto val="1"/>
        <c:lblAlgn val="ctr"/>
        <c:lblOffset val="100"/>
        <c:noMultiLvlLbl val="0"/>
      </c:catAx>
      <c:valAx>
        <c:axId val="94470144"/>
        <c:scaling>
          <c:orientation val="minMax"/>
          <c:max val="3"/>
        </c:scaling>
        <c:delete val="0"/>
        <c:axPos val="l"/>
        <c:majorGridlines/>
        <c:numFmt formatCode="0.00" sourceLinked="1"/>
        <c:majorTickMark val="out"/>
        <c:minorTickMark val="out"/>
        <c:tickLblPos val="nextTo"/>
        <c:crossAx val="94464256"/>
        <c:crosses val="autoZero"/>
        <c:crossBetween val="between"/>
        <c:majorUnit val="0.75000000000000389"/>
        <c:minorUnit val="0.25"/>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Graphe 3.1.3. : </a:t>
            </a:r>
            <a:r>
              <a:rPr lang="en-US" sz="1200" b="0">
                <a:latin typeface="Arial Narrow" pitchFamily="34" charset="0"/>
              </a:rPr>
              <a:t>Performance moyenne</a:t>
            </a:r>
            <a:r>
              <a:rPr lang="en-US" sz="1200" b="0" baseline="0">
                <a:latin typeface="Arial Narrow" pitchFamily="34" charset="0"/>
              </a:rPr>
              <a:t> CVPC g</a:t>
            </a:r>
            <a:r>
              <a:rPr lang="en-US" sz="1200" b="0">
                <a:latin typeface="Arial Narrow" pitchFamily="34" charset="0"/>
              </a:rPr>
              <a:t>estion des ressources</a:t>
            </a:r>
          </a:p>
        </c:rich>
      </c:tx>
      <c:layout/>
      <c:overlay val="0"/>
    </c:title>
    <c:autoTitleDeleted val="0"/>
    <c:plotArea>
      <c:layout/>
      <c:barChart>
        <c:barDir val="col"/>
        <c:grouping val="stacked"/>
        <c:varyColors val="0"/>
        <c:ser>
          <c:idx val="0"/>
          <c:order val="0"/>
          <c:tx>
            <c:strRef>
              <c:f>'SYNTHE AUTO EVA'!$B$11</c:f>
              <c:strCache>
                <c:ptCount val="1"/>
                <c:pt idx="0">
                  <c:v>Performance moyenne par critère et domaine</c:v>
                </c:pt>
              </c:strCache>
            </c:strRef>
          </c:tx>
          <c:spPr>
            <a:solidFill>
              <a:srgbClr val="FF0000"/>
            </a:solidFill>
          </c:spPr>
          <c:invertIfNegative val="0"/>
          <c:dPt>
            <c:idx val="0"/>
            <c:invertIfNegative val="0"/>
            <c:bubble3D val="0"/>
            <c:spPr>
              <a:solidFill>
                <a:srgbClr val="FFFF00"/>
              </a:solidFill>
            </c:spPr>
          </c:dPt>
          <c:dPt>
            <c:idx val="1"/>
            <c:invertIfNegative val="0"/>
            <c:bubble3D val="0"/>
            <c:spPr>
              <a:solidFill>
                <a:srgbClr val="00B050"/>
              </a:solidFill>
            </c:spPr>
          </c:dPt>
          <c:dPt>
            <c:idx val="2"/>
            <c:invertIfNegative val="0"/>
            <c:bubble3D val="0"/>
            <c:spPr>
              <a:solidFill>
                <a:srgbClr val="00B050"/>
              </a:solidFill>
            </c:spPr>
          </c:dPt>
          <c:dPt>
            <c:idx val="3"/>
            <c:invertIfNegative val="0"/>
            <c:bubble3D val="0"/>
            <c:spPr>
              <a:solidFill>
                <a:srgbClr val="FFFF00"/>
              </a:solidFill>
            </c:spPr>
          </c:dPt>
          <c:cat>
            <c:multiLvlStrRef>
              <c:f>'SYNTHE AUTO EVA'!$J$2:$M$3</c:f>
              <c:multiLvlStrCache>
                <c:ptCount val="4"/>
                <c:lvl>
                  <c:pt idx="0">
                    <c:v>MOBILISATION DES RESSOURCES FINANCIERES</c:v>
                  </c:pt>
                  <c:pt idx="1">
                    <c:v>TENUE DES DOCUMENTS FINANCIERS ET COMPTABLES</c:v>
                  </c:pt>
                  <c:pt idx="2">
                    <c:v>ALPHABETISATION DES DIRIGEANTS</c:v>
                  </c:pt>
                  <c:pt idx="3">
                    <c:v>GESTION DES RESSOURCES</c:v>
                  </c:pt>
                </c:lvl>
                <c:lvl>
                  <c:pt idx="0">
                    <c:v>B.1</c:v>
                  </c:pt>
                  <c:pt idx="1">
                    <c:v>B.2</c:v>
                  </c:pt>
                  <c:pt idx="2">
                    <c:v>B.3</c:v>
                  </c:pt>
                  <c:pt idx="3">
                    <c:v>B</c:v>
                  </c:pt>
                </c:lvl>
              </c:multiLvlStrCache>
            </c:multiLvlStrRef>
          </c:cat>
          <c:val>
            <c:numRef>
              <c:f>'SYNTHE AUTO EVA'!$J$11:$M$11</c:f>
              <c:numCache>
                <c:formatCode>0.00</c:formatCode>
                <c:ptCount val="4"/>
                <c:pt idx="0">
                  <c:v>1.8</c:v>
                </c:pt>
                <c:pt idx="1">
                  <c:v>2.2666666666666666</c:v>
                </c:pt>
                <c:pt idx="2">
                  <c:v>2.3333333333333335</c:v>
                </c:pt>
                <c:pt idx="3">
                  <c:v>2.1333333333333333</c:v>
                </c:pt>
              </c:numCache>
            </c:numRef>
          </c:val>
        </c:ser>
        <c:dLbls>
          <c:showLegendKey val="0"/>
          <c:showVal val="0"/>
          <c:showCatName val="0"/>
          <c:showSerName val="0"/>
          <c:showPercent val="0"/>
          <c:showBubbleSize val="0"/>
        </c:dLbls>
        <c:gapWidth val="150"/>
        <c:overlap val="100"/>
        <c:axId val="93585792"/>
        <c:axId val="93587328"/>
      </c:barChart>
      <c:catAx>
        <c:axId val="93585792"/>
        <c:scaling>
          <c:orientation val="minMax"/>
        </c:scaling>
        <c:delete val="0"/>
        <c:axPos val="b"/>
        <c:numFmt formatCode="General" sourceLinked="1"/>
        <c:majorTickMark val="out"/>
        <c:minorTickMark val="none"/>
        <c:tickLblPos val="nextTo"/>
        <c:crossAx val="93587328"/>
        <c:crosses val="autoZero"/>
        <c:auto val="1"/>
        <c:lblAlgn val="ctr"/>
        <c:lblOffset val="100"/>
        <c:noMultiLvlLbl val="0"/>
      </c:catAx>
      <c:valAx>
        <c:axId val="93587328"/>
        <c:scaling>
          <c:orientation val="minMax"/>
          <c:max val="3"/>
          <c:min val="0"/>
        </c:scaling>
        <c:delete val="0"/>
        <c:axPos val="l"/>
        <c:majorGridlines>
          <c:spPr>
            <a:ln w="25400">
              <a:solidFill>
                <a:sysClr val="windowText" lastClr="000000">
                  <a:tint val="75000"/>
                  <a:shade val="95000"/>
                  <a:satMod val="105000"/>
                </a:sysClr>
              </a:solidFill>
            </a:ln>
          </c:spPr>
        </c:majorGridlines>
        <c:numFmt formatCode="0.00" sourceLinked="1"/>
        <c:majorTickMark val="out"/>
        <c:minorTickMark val="out"/>
        <c:tickLblPos val="nextTo"/>
        <c:crossAx val="93585792"/>
        <c:crosses val="autoZero"/>
        <c:crossBetween val="between"/>
        <c:majorUnit val="0.75000000000000377"/>
        <c:minorUnit val="0.25"/>
      </c:valAx>
    </c:plotArea>
    <c:plotVisOnly val="1"/>
    <c:dispBlanksAs val="gap"/>
    <c:showDLblsOverMax val="0"/>
  </c:chart>
  <c:printSettings>
    <c:headerFooter/>
    <c:pageMargins b="0.75000000000000411" l="0.70000000000000062" r="0.70000000000000062" t="0.75000000000000411"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GESTION DU CREDIT</a:t>
            </a:r>
          </a:p>
        </c:rich>
      </c:tx>
      <c:overlay val="0"/>
    </c:title>
    <c:autoTitleDeleted val="0"/>
    <c:plotArea>
      <c:layout/>
      <c:barChart>
        <c:barDir val="col"/>
        <c:grouping val="clustered"/>
        <c:varyColors val="0"/>
        <c:ser>
          <c:idx val="0"/>
          <c:order val="0"/>
          <c:tx>
            <c:strRef>
              <c:f>'SYNTHE AUTO EVA'!$Q$2:$Q$4</c:f>
              <c:strCache>
                <c:ptCount val="1"/>
                <c:pt idx="0">
                  <c:v>C GESTION DU CREDIT GESTION DU CREDIT</c:v>
                </c:pt>
              </c:strCache>
            </c:strRef>
          </c:tx>
          <c:spPr>
            <a:solidFill>
              <a:srgbClr val="002060">
                <a:alpha val="40000"/>
              </a:srgbClr>
            </a:solidFill>
          </c:spPr>
          <c:invertIfNegative val="0"/>
          <c:cat>
            <c:strRef>
              <c:f>'SYNTHE AUTO EVA'!$B$12:$B$26</c:f>
              <c:strCache>
                <c:ptCount val="15"/>
                <c:pt idx="0">
                  <c:v>BADOU (Nassiara)</c:v>
                </c:pt>
                <c:pt idx="1">
                  <c:v>BORO</c:v>
                </c:pt>
                <c:pt idx="2">
                  <c:v>BOUYANGOUROU A</c:v>
                </c:pt>
                <c:pt idx="3">
                  <c:v>FANA</c:v>
                </c:pt>
                <c:pt idx="4">
                  <c:v>GAMAGOU CENTRE</c:v>
                </c:pt>
                <c:pt idx="5">
                  <c:v>GOUNAROU 1</c:v>
                </c:pt>
                <c:pt idx="6">
                  <c:v>GOUNAROU 2</c:v>
                </c:pt>
                <c:pt idx="7">
                  <c:v>KALI (Antissua)</c:v>
                </c:pt>
                <c:pt idx="8">
                  <c:v>KANTAKPARA 1</c:v>
                </c:pt>
                <c:pt idx="9">
                  <c:v>OUERE 2</c:v>
                </c:pt>
                <c:pt idx="10">
                  <c:v>OUESSENE 1</c:v>
                </c:pt>
                <c:pt idx="11">
                  <c:v>SOROU</c:v>
                </c:pt>
                <c:pt idx="12">
                  <c:v>WARA 2</c:v>
                </c:pt>
                <c:pt idx="13">
                  <c:v>WOROUWODOU</c:v>
                </c:pt>
                <c:pt idx="14">
                  <c:v>YAKOUBAROU</c:v>
                </c:pt>
              </c:strCache>
            </c:strRef>
          </c:cat>
          <c:val>
            <c:numRef>
              <c:f>'SYNTHE AUTO EVA'!$Q$12:$Q$26</c:f>
              <c:numCache>
                <c:formatCode>0.00</c:formatCode>
                <c:ptCount val="15"/>
                <c:pt idx="0">
                  <c:v>2</c:v>
                </c:pt>
                <c:pt idx="1">
                  <c:v>2</c:v>
                </c:pt>
                <c:pt idx="2">
                  <c:v>2.3333333333333335</c:v>
                </c:pt>
                <c:pt idx="3">
                  <c:v>2.3333333333333335</c:v>
                </c:pt>
                <c:pt idx="4">
                  <c:v>2.3333333333333335</c:v>
                </c:pt>
                <c:pt idx="5">
                  <c:v>2.3333333333333335</c:v>
                </c:pt>
                <c:pt idx="6">
                  <c:v>2.3333333333333335</c:v>
                </c:pt>
                <c:pt idx="7">
                  <c:v>2.3333333333333335</c:v>
                </c:pt>
                <c:pt idx="8">
                  <c:v>2.3333333333333335</c:v>
                </c:pt>
                <c:pt idx="9">
                  <c:v>2.3333333333333335</c:v>
                </c:pt>
                <c:pt idx="10">
                  <c:v>2.3333333333333335</c:v>
                </c:pt>
                <c:pt idx="11">
                  <c:v>2.3333333333333335</c:v>
                </c:pt>
                <c:pt idx="12">
                  <c:v>2.3333333333333335</c:v>
                </c:pt>
                <c:pt idx="13">
                  <c:v>2.3333333333333335</c:v>
                </c:pt>
                <c:pt idx="14">
                  <c:v>2.3333333333333335</c:v>
                </c:pt>
              </c:numCache>
            </c:numRef>
          </c:val>
        </c:ser>
        <c:dLbls>
          <c:showLegendKey val="0"/>
          <c:showVal val="0"/>
          <c:showCatName val="0"/>
          <c:showSerName val="0"/>
          <c:showPercent val="0"/>
          <c:showBubbleSize val="0"/>
        </c:dLbls>
        <c:gapWidth val="150"/>
        <c:axId val="94485888"/>
        <c:axId val="94495872"/>
      </c:barChart>
      <c:catAx>
        <c:axId val="94485888"/>
        <c:scaling>
          <c:orientation val="minMax"/>
        </c:scaling>
        <c:delete val="0"/>
        <c:axPos val="b"/>
        <c:numFmt formatCode="General" sourceLinked="1"/>
        <c:majorTickMark val="out"/>
        <c:minorTickMark val="none"/>
        <c:tickLblPos val="nextTo"/>
        <c:crossAx val="94495872"/>
        <c:crosses val="autoZero"/>
        <c:auto val="1"/>
        <c:lblAlgn val="ctr"/>
        <c:lblOffset val="100"/>
        <c:noMultiLvlLbl val="0"/>
      </c:catAx>
      <c:valAx>
        <c:axId val="94495872"/>
        <c:scaling>
          <c:orientation val="minMax"/>
          <c:max val="3"/>
        </c:scaling>
        <c:delete val="0"/>
        <c:axPos val="l"/>
        <c:majorGridlines/>
        <c:numFmt formatCode="0.00" sourceLinked="1"/>
        <c:majorTickMark val="out"/>
        <c:minorTickMark val="out"/>
        <c:tickLblPos val="nextTo"/>
        <c:crossAx val="94485888"/>
        <c:crosses val="autoZero"/>
        <c:crossBetween val="between"/>
        <c:majorUnit val="0.75000000000000411"/>
        <c:minorUnit val="0.25"/>
      </c:valAx>
    </c:plotArea>
    <c:plotVisOnly val="1"/>
    <c:dispBlanksAs val="gap"/>
    <c:showDLblsOverMax val="0"/>
  </c:chart>
  <c:printSettings>
    <c:headerFooter/>
    <c:pageMargins b="0.75000000000000444" l="0.70000000000000062" r="0.70000000000000062" t="0.750000000000004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COMMERCIALISATION</a:t>
            </a:r>
          </a:p>
        </c:rich>
      </c:tx>
      <c:overlay val="0"/>
    </c:title>
    <c:autoTitleDeleted val="0"/>
    <c:plotArea>
      <c:layout/>
      <c:barChart>
        <c:barDir val="col"/>
        <c:grouping val="clustered"/>
        <c:varyColors val="0"/>
        <c:ser>
          <c:idx val="0"/>
          <c:order val="0"/>
          <c:tx>
            <c:strRef>
              <c:f>'SYNTHE AUTO EVA'!$AC$2:$AC$4</c:f>
              <c:strCache>
                <c:ptCount val="1"/>
                <c:pt idx="0">
                  <c:v>E COMMERCIALISATION COMMERCIALISATION</c:v>
                </c:pt>
              </c:strCache>
            </c:strRef>
          </c:tx>
          <c:spPr>
            <a:solidFill>
              <a:srgbClr val="002060">
                <a:alpha val="40000"/>
              </a:srgbClr>
            </a:solidFill>
          </c:spPr>
          <c:invertIfNegative val="0"/>
          <c:dPt>
            <c:idx val="0"/>
            <c:invertIfNegative val="0"/>
            <c:bubble3D val="0"/>
            <c:spPr>
              <a:solidFill>
                <a:srgbClr val="FFFF00">
                  <a:alpha val="40000"/>
                </a:srgbClr>
              </a:solidFill>
            </c:spPr>
          </c:dPt>
          <c:dPt>
            <c:idx val="1"/>
            <c:invertIfNegative val="0"/>
            <c:bubble3D val="0"/>
            <c:spPr>
              <a:solidFill>
                <a:srgbClr val="FF0000">
                  <a:alpha val="40000"/>
                </a:srgbClr>
              </a:solidFill>
            </c:spPr>
          </c:dPt>
          <c:dPt>
            <c:idx val="2"/>
            <c:invertIfNegative val="0"/>
            <c:bubble3D val="0"/>
            <c:spPr>
              <a:solidFill>
                <a:srgbClr val="FF0000">
                  <a:alpha val="40000"/>
                </a:srgbClr>
              </a:solidFill>
            </c:spPr>
          </c:dPt>
          <c:dPt>
            <c:idx val="3"/>
            <c:invertIfNegative val="0"/>
            <c:bubble3D val="0"/>
            <c:spPr>
              <a:solidFill>
                <a:srgbClr val="FFFF00">
                  <a:alpha val="40000"/>
                </a:srgbClr>
              </a:solidFill>
            </c:spPr>
          </c:dPt>
          <c:dPt>
            <c:idx val="4"/>
            <c:invertIfNegative val="0"/>
            <c:bubble3D val="0"/>
            <c:spPr>
              <a:solidFill>
                <a:srgbClr val="00B050">
                  <a:alpha val="40000"/>
                </a:srgbClr>
              </a:solidFill>
            </c:spPr>
          </c:dPt>
          <c:dPt>
            <c:idx val="5"/>
            <c:invertIfNegative val="0"/>
            <c:bubble3D val="0"/>
            <c:spPr>
              <a:solidFill>
                <a:srgbClr val="00B050">
                  <a:alpha val="40000"/>
                </a:srgbClr>
              </a:solidFill>
            </c:spPr>
          </c:dPt>
          <c:cat>
            <c:strRef>
              <c:f>'SYNTHE AUTO EVA'!$B$12:$B$26</c:f>
              <c:strCache>
                <c:ptCount val="15"/>
                <c:pt idx="0">
                  <c:v>BADOU (Nassiara)</c:v>
                </c:pt>
                <c:pt idx="1">
                  <c:v>BORO</c:v>
                </c:pt>
                <c:pt idx="2">
                  <c:v>BOUYANGOUROU A</c:v>
                </c:pt>
                <c:pt idx="3">
                  <c:v>FANA</c:v>
                </c:pt>
                <c:pt idx="4">
                  <c:v>GAMAGOU CENTRE</c:v>
                </c:pt>
                <c:pt idx="5">
                  <c:v>GOUNAROU 1</c:v>
                </c:pt>
                <c:pt idx="6">
                  <c:v>GOUNAROU 2</c:v>
                </c:pt>
                <c:pt idx="7">
                  <c:v>KALI (Antissua)</c:v>
                </c:pt>
                <c:pt idx="8">
                  <c:v>KANTAKPARA 1</c:v>
                </c:pt>
                <c:pt idx="9">
                  <c:v>OUERE 2</c:v>
                </c:pt>
                <c:pt idx="10">
                  <c:v>OUESSENE 1</c:v>
                </c:pt>
                <c:pt idx="11">
                  <c:v>SOROU</c:v>
                </c:pt>
                <c:pt idx="12">
                  <c:v>WARA 2</c:v>
                </c:pt>
                <c:pt idx="13">
                  <c:v>WOROUWODOU</c:v>
                </c:pt>
                <c:pt idx="14">
                  <c:v>YAKOUBAROU</c:v>
                </c:pt>
              </c:strCache>
            </c:strRef>
          </c:cat>
          <c:val>
            <c:numRef>
              <c:f>'SYNTHE AUTO EVA'!$AC$12:$AC$26</c:f>
              <c:numCache>
                <c:formatCode>0.00</c:formatCode>
                <c:ptCount val="15"/>
                <c:pt idx="0">
                  <c:v>2.6666666666666665</c:v>
                </c:pt>
                <c:pt idx="1">
                  <c:v>2.6666666666666665</c:v>
                </c:pt>
                <c:pt idx="2">
                  <c:v>2.6666666666666665</c:v>
                </c:pt>
                <c:pt idx="3">
                  <c:v>2.8333333333333335</c:v>
                </c:pt>
                <c:pt idx="4">
                  <c:v>2.8333333333333335</c:v>
                </c:pt>
                <c:pt idx="5">
                  <c:v>2.8333333333333335</c:v>
                </c:pt>
                <c:pt idx="6">
                  <c:v>2.6666666666666665</c:v>
                </c:pt>
                <c:pt idx="7">
                  <c:v>2.6666666666666665</c:v>
                </c:pt>
                <c:pt idx="8">
                  <c:v>2.6666666666666665</c:v>
                </c:pt>
                <c:pt idx="9">
                  <c:v>2.6666666666666665</c:v>
                </c:pt>
                <c:pt idx="10">
                  <c:v>2.6666666666666665</c:v>
                </c:pt>
                <c:pt idx="11">
                  <c:v>2.6666666666666665</c:v>
                </c:pt>
                <c:pt idx="12">
                  <c:v>2.8333333333333335</c:v>
                </c:pt>
                <c:pt idx="13">
                  <c:v>2.8333333333333335</c:v>
                </c:pt>
                <c:pt idx="14">
                  <c:v>2.8333333333333335</c:v>
                </c:pt>
              </c:numCache>
            </c:numRef>
          </c:val>
        </c:ser>
        <c:dLbls>
          <c:showLegendKey val="0"/>
          <c:showVal val="0"/>
          <c:showCatName val="0"/>
          <c:showSerName val="0"/>
          <c:showPercent val="0"/>
          <c:showBubbleSize val="0"/>
        </c:dLbls>
        <c:gapWidth val="150"/>
        <c:axId val="94596096"/>
        <c:axId val="94597888"/>
      </c:barChart>
      <c:catAx>
        <c:axId val="94596096"/>
        <c:scaling>
          <c:orientation val="minMax"/>
        </c:scaling>
        <c:delete val="0"/>
        <c:axPos val="b"/>
        <c:numFmt formatCode="General" sourceLinked="1"/>
        <c:majorTickMark val="out"/>
        <c:minorTickMark val="none"/>
        <c:tickLblPos val="nextTo"/>
        <c:crossAx val="94597888"/>
        <c:crosses val="autoZero"/>
        <c:auto val="1"/>
        <c:lblAlgn val="ctr"/>
        <c:lblOffset val="100"/>
        <c:noMultiLvlLbl val="0"/>
      </c:catAx>
      <c:valAx>
        <c:axId val="94597888"/>
        <c:scaling>
          <c:orientation val="minMax"/>
          <c:max val="3"/>
        </c:scaling>
        <c:delete val="0"/>
        <c:axPos val="l"/>
        <c:majorGridlines/>
        <c:numFmt formatCode="0.00" sourceLinked="1"/>
        <c:majorTickMark val="out"/>
        <c:minorTickMark val="out"/>
        <c:tickLblPos val="nextTo"/>
        <c:crossAx val="94596096"/>
        <c:crosses val="autoZero"/>
        <c:crossBetween val="between"/>
        <c:majorUnit val="0.75000000000000455"/>
        <c:minorUnit val="0.25"/>
      </c:valAx>
    </c:plotArea>
    <c:plotVisOnly val="1"/>
    <c:dispBlanksAs val="gap"/>
    <c:showDLblsOverMax val="0"/>
  </c:chart>
  <c:printSettings>
    <c:headerFooter/>
    <c:pageMargins b="0.75000000000000488" l="0.70000000000000062" r="0.70000000000000062" t="0.7500000000000048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REPRESENTATION</a:t>
            </a:r>
          </a:p>
        </c:rich>
      </c:tx>
      <c:overlay val="0"/>
    </c:title>
    <c:autoTitleDeleted val="0"/>
    <c:plotArea>
      <c:layout/>
      <c:barChart>
        <c:barDir val="col"/>
        <c:grouping val="clustered"/>
        <c:varyColors val="0"/>
        <c:ser>
          <c:idx val="0"/>
          <c:order val="0"/>
          <c:tx>
            <c:strRef>
              <c:f>'SYNTHE AUTO EVA'!$AG$2:$AG$4</c:f>
              <c:strCache>
                <c:ptCount val="1"/>
                <c:pt idx="0">
                  <c:v>F CAPACITE STRATEGIQUES CAPACITE STRATEGIQUES</c:v>
                </c:pt>
              </c:strCache>
            </c:strRef>
          </c:tx>
          <c:spPr>
            <a:solidFill>
              <a:srgbClr val="002060">
                <a:alpha val="40000"/>
              </a:srgbClr>
            </a:solidFill>
          </c:spPr>
          <c:invertIfNegative val="0"/>
          <c:cat>
            <c:strRef>
              <c:f>'SYNTHE AUTO EVA'!$B$12:$B$26</c:f>
              <c:strCache>
                <c:ptCount val="15"/>
                <c:pt idx="0">
                  <c:v>BADOU (Nassiara)</c:v>
                </c:pt>
                <c:pt idx="1">
                  <c:v>BORO</c:v>
                </c:pt>
                <c:pt idx="2">
                  <c:v>BOUYANGOUROU A</c:v>
                </c:pt>
                <c:pt idx="3">
                  <c:v>FANA</c:v>
                </c:pt>
                <c:pt idx="4">
                  <c:v>GAMAGOU CENTRE</c:v>
                </c:pt>
                <c:pt idx="5">
                  <c:v>GOUNAROU 1</c:v>
                </c:pt>
                <c:pt idx="6">
                  <c:v>GOUNAROU 2</c:v>
                </c:pt>
                <c:pt idx="7">
                  <c:v>KALI (Antissua)</c:v>
                </c:pt>
                <c:pt idx="8">
                  <c:v>KANTAKPARA 1</c:v>
                </c:pt>
                <c:pt idx="9">
                  <c:v>OUERE 2</c:v>
                </c:pt>
                <c:pt idx="10">
                  <c:v>OUESSENE 1</c:v>
                </c:pt>
                <c:pt idx="11">
                  <c:v>SOROU</c:v>
                </c:pt>
                <c:pt idx="12">
                  <c:v>WARA 2</c:v>
                </c:pt>
                <c:pt idx="13">
                  <c:v>WOROUWODOU</c:v>
                </c:pt>
                <c:pt idx="14">
                  <c:v>YAKOUBAROU</c:v>
                </c:pt>
              </c:strCache>
            </c:strRef>
          </c:cat>
          <c:val>
            <c:numRef>
              <c:f>'SYNTHE AUTO EVA'!$AG$12:$AG$26</c:f>
              <c:numCache>
                <c:formatCode>0.00</c:formatCode>
                <c:ptCount val="15"/>
                <c:pt idx="0">
                  <c:v>1.3333333333333333</c:v>
                </c:pt>
                <c:pt idx="1">
                  <c:v>1.3333333333333333</c:v>
                </c:pt>
                <c:pt idx="2">
                  <c:v>2</c:v>
                </c:pt>
                <c:pt idx="3">
                  <c:v>2</c:v>
                </c:pt>
                <c:pt idx="4">
                  <c:v>2</c:v>
                </c:pt>
                <c:pt idx="5">
                  <c:v>1.6666666666666667</c:v>
                </c:pt>
                <c:pt idx="6">
                  <c:v>2</c:v>
                </c:pt>
                <c:pt idx="7">
                  <c:v>1.3333333333333333</c:v>
                </c:pt>
                <c:pt idx="8">
                  <c:v>1.6666666666666667</c:v>
                </c:pt>
                <c:pt idx="9">
                  <c:v>1.3333333333333333</c:v>
                </c:pt>
                <c:pt idx="10">
                  <c:v>1.6666666666666667</c:v>
                </c:pt>
                <c:pt idx="11">
                  <c:v>2</c:v>
                </c:pt>
                <c:pt idx="12">
                  <c:v>1.3333333333333333</c:v>
                </c:pt>
                <c:pt idx="13">
                  <c:v>1.3333333333333333</c:v>
                </c:pt>
                <c:pt idx="14">
                  <c:v>1.3333333333333333</c:v>
                </c:pt>
              </c:numCache>
            </c:numRef>
          </c:val>
        </c:ser>
        <c:dLbls>
          <c:showLegendKey val="0"/>
          <c:showVal val="0"/>
          <c:showCatName val="0"/>
          <c:showSerName val="0"/>
          <c:showPercent val="0"/>
          <c:showBubbleSize val="0"/>
        </c:dLbls>
        <c:gapWidth val="150"/>
        <c:axId val="94617984"/>
        <c:axId val="94619520"/>
      </c:barChart>
      <c:catAx>
        <c:axId val="94617984"/>
        <c:scaling>
          <c:orientation val="minMax"/>
        </c:scaling>
        <c:delete val="0"/>
        <c:axPos val="b"/>
        <c:numFmt formatCode="General" sourceLinked="1"/>
        <c:majorTickMark val="out"/>
        <c:minorTickMark val="none"/>
        <c:tickLblPos val="nextTo"/>
        <c:crossAx val="94619520"/>
        <c:crosses val="autoZero"/>
        <c:auto val="1"/>
        <c:lblAlgn val="ctr"/>
        <c:lblOffset val="100"/>
        <c:noMultiLvlLbl val="0"/>
      </c:catAx>
      <c:valAx>
        <c:axId val="94619520"/>
        <c:scaling>
          <c:orientation val="minMax"/>
          <c:max val="3"/>
        </c:scaling>
        <c:delete val="0"/>
        <c:axPos val="l"/>
        <c:majorGridlines/>
        <c:numFmt formatCode="0.00" sourceLinked="1"/>
        <c:majorTickMark val="out"/>
        <c:minorTickMark val="out"/>
        <c:tickLblPos val="nextTo"/>
        <c:crossAx val="94617984"/>
        <c:crosses val="autoZero"/>
        <c:crossBetween val="between"/>
        <c:majorUnit val="0.75000000000000477"/>
        <c:minorUnit val="0.25"/>
      </c:valAx>
    </c:plotArea>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GESTION DES</a:t>
            </a:r>
            <a:r>
              <a:rPr lang="en-US" sz="1400" baseline="0">
                <a:latin typeface="Arial Narrow" pitchFamily="34" charset="0"/>
              </a:rPr>
              <a:t> INTRANTS</a:t>
            </a:r>
            <a:endParaRPr lang="en-US" sz="1400">
              <a:latin typeface="Arial Narrow" pitchFamily="34" charset="0"/>
            </a:endParaRPr>
          </a:p>
        </c:rich>
      </c:tx>
      <c:overlay val="0"/>
    </c:title>
    <c:autoTitleDeleted val="0"/>
    <c:plotArea>
      <c:layout/>
      <c:barChart>
        <c:barDir val="col"/>
        <c:grouping val="clustered"/>
        <c:varyColors val="0"/>
        <c:ser>
          <c:idx val="0"/>
          <c:order val="0"/>
          <c:tx>
            <c:strRef>
              <c:f>'SYNTHE AUTO EVA'!$V$2:$V$4</c:f>
              <c:strCache>
                <c:ptCount val="1"/>
                <c:pt idx="0">
                  <c:v> D GESTION DES INTRANTS GESTION DES INTRANTS</c:v>
                </c:pt>
              </c:strCache>
            </c:strRef>
          </c:tx>
          <c:spPr>
            <a:solidFill>
              <a:srgbClr val="002060">
                <a:alpha val="40000"/>
              </a:srgbClr>
            </a:solidFill>
          </c:spPr>
          <c:invertIfNegative val="0"/>
          <c:dPt>
            <c:idx val="0"/>
            <c:invertIfNegative val="0"/>
            <c:bubble3D val="0"/>
            <c:spPr>
              <a:solidFill>
                <a:srgbClr val="FFFF00">
                  <a:alpha val="40000"/>
                </a:srgbClr>
              </a:solidFill>
            </c:spPr>
          </c:dPt>
          <c:dPt>
            <c:idx val="1"/>
            <c:invertIfNegative val="0"/>
            <c:bubble3D val="0"/>
            <c:spPr>
              <a:solidFill>
                <a:srgbClr val="FF0000">
                  <a:alpha val="40000"/>
                </a:srgbClr>
              </a:solidFill>
            </c:spPr>
          </c:dPt>
          <c:dPt>
            <c:idx val="2"/>
            <c:invertIfNegative val="0"/>
            <c:bubble3D val="0"/>
            <c:spPr>
              <a:solidFill>
                <a:srgbClr val="FFFF00">
                  <a:alpha val="40000"/>
                </a:srgbClr>
              </a:solidFill>
            </c:spPr>
          </c:dPt>
          <c:dPt>
            <c:idx val="3"/>
            <c:invertIfNegative val="0"/>
            <c:bubble3D val="0"/>
            <c:spPr>
              <a:solidFill>
                <a:srgbClr val="00B050">
                  <a:alpha val="40000"/>
                </a:srgbClr>
              </a:solidFill>
            </c:spPr>
          </c:dPt>
          <c:dPt>
            <c:idx val="4"/>
            <c:invertIfNegative val="0"/>
            <c:bubble3D val="0"/>
            <c:spPr>
              <a:solidFill>
                <a:srgbClr val="FF0000">
                  <a:alpha val="40000"/>
                </a:srgbClr>
              </a:solidFill>
            </c:spPr>
          </c:dPt>
          <c:dPt>
            <c:idx val="5"/>
            <c:invertIfNegative val="0"/>
            <c:bubble3D val="0"/>
            <c:spPr>
              <a:solidFill>
                <a:srgbClr val="FF0000">
                  <a:alpha val="40000"/>
                </a:srgbClr>
              </a:solidFill>
            </c:spPr>
          </c:dPt>
          <c:dPt>
            <c:idx val="6"/>
            <c:invertIfNegative val="0"/>
            <c:bubble3D val="0"/>
            <c:spPr>
              <a:solidFill>
                <a:srgbClr val="FFFF00">
                  <a:alpha val="40000"/>
                </a:srgbClr>
              </a:solidFill>
            </c:spPr>
          </c:dPt>
          <c:dPt>
            <c:idx val="7"/>
            <c:invertIfNegative val="0"/>
            <c:bubble3D val="0"/>
            <c:spPr>
              <a:solidFill>
                <a:srgbClr val="FFFF00">
                  <a:alpha val="40000"/>
                </a:srgbClr>
              </a:solidFill>
            </c:spPr>
          </c:dPt>
          <c:dPt>
            <c:idx val="8"/>
            <c:invertIfNegative val="0"/>
            <c:bubble3D val="0"/>
            <c:spPr>
              <a:solidFill>
                <a:srgbClr val="FFFF00">
                  <a:alpha val="40000"/>
                </a:srgbClr>
              </a:solidFill>
            </c:spPr>
          </c:dPt>
          <c:dPt>
            <c:idx val="9"/>
            <c:invertIfNegative val="0"/>
            <c:bubble3D val="0"/>
            <c:spPr>
              <a:solidFill>
                <a:srgbClr val="FF0000">
                  <a:alpha val="40000"/>
                </a:srgbClr>
              </a:solidFill>
            </c:spPr>
          </c:dPt>
          <c:dPt>
            <c:idx val="10"/>
            <c:invertIfNegative val="0"/>
            <c:bubble3D val="0"/>
            <c:spPr>
              <a:solidFill>
                <a:srgbClr val="FF0000">
                  <a:alpha val="40000"/>
                </a:srgbClr>
              </a:solidFill>
            </c:spPr>
          </c:dPt>
          <c:dPt>
            <c:idx val="11"/>
            <c:invertIfNegative val="0"/>
            <c:bubble3D val="0"/>
            <c:spPr>
              <a:solidFill>
                <a:srgbClr val="FF0000">
                  <a:alpha val="40000"/>
                </a:srgbClr>
              </a:solidFill>
            </c:spPr>
          </c:dPt>
          <c:dPt>
            <c:idx val="12"/>
            <c:invertIfNegative val="0"/>
            <c:bubble3D val="0"/>
            <c:spPr>
              <a:solidFill>
                <a:srgbClr val="FFFF00">
                  <a:alpha val="40000"/>
                </a:srgbClr>
              </a:solidFill>
            </c:spPr>
          </c:dPt>
          <c:dPt>
            <c:idx val="13"/>
            <c:invertIfNegative val="0"/>
            <c:bubble3D val="0"/>
            <c:spPr>
              <a:solidFill>
                <a:srgbClr val="FF0000">
                  <a:alpha val="40000"/>
                </a:srgbClr>
              </a:solidFill>
            </c:spPr>
          </c:dPt>
          <c:dPt>
            <c:idx val="14"/>
            <c:invertIfNegative val="0"/>
            <c:bubble3D val="0"/>
            <c:spPr>
              <a:solidFill>
                <a:srgbClr val="FF0000">
                  <a:alpha val="40000"/>
                </a:srgbClr>
              </a:solidFill>
            </c:spPr>
          </c:dPt>
          <c:cat>
            <c:strRef>
              <c:f>'SYNTHE AUTO EVA'!$B$12:$B$26</c:f>
              <c:strCache>
                <c:ptCount val="15"/>
                <c:pt idx="0">
                  <c:v>BADOU (Nassiara)</c:v>
                </c:pt>
                <c:pt idx="1">
                  <c:v>BORO</c:v>
                </c:pt>
                <c:pt idx="2">
                  <c:v>BOUYANGOUROU A</c:v>
                </c:pt>
                <c:pt idx="3">
                  <c:v>FANA</c:v>
                </c:pt>
                <c:pt idx="4">
                  <c:v>GAMAGOU CENTRE</c:v>
                </c:pt>
                <c:pt idx="5">
                  <c:v>GOUNAROU 1</c:v>
                </c:pt>
                <c:pt idx="6">
                  <c:v>GOUNAROU 2</c:v>
                </c:pt>
                <c:pt idx="7">
                  <c:v>KALI (Antissua)</c:v>
                </c:pt>
                <c:pt idx="8">
                  <c:v>KANTAKPARA 1</c:v>
                </c:pt>
                <c:pt idx="9">
                  <c:v>OUERE 2</c:v>
                </c:pt>
                <c:pt idx="10">
                  <c:v>OUESSENE 1</c:v>
                </c:pt>
                <c:pt idx="11">
                  <c:v>SOROU</c:v>
                </c:pt>
                <c:pt idx="12">
                  <c:v>WARA 2</c:v>
                </c:pt>
                <c:pt idx="13">
                  <c:v>WOROUWODOU</c:v>
                </c:pt>
                <c:pt idx="14">
                  <c:v>YAKOUBAROU</c:v>
                </c:pt>
              </c:strCache>
            </c:strRef>
          </c:cat>
          <c:val>
            <c:numRef>
              <c:f>'SYNTHE AUTO EVA'!$V$12:$V$26</c:f>
              <c:numCache>
                <c:formatCode>0.00</c:formatCode>
                <c:ptCount val="15"/>
                <c:pt idx="0">
                  <c:v>2.25</c:v>
                </c:pt>
                <c:pt idx="1">
                  <c:v>2.75</c:v>
                </c:pt>
                <c:pt idx="2">
                  <c:v>2.5</c:v>
                </c:pt>
                <c:pt idx="3">
                  <c:v>2.5</c:v>
                </c:pt>
                <c:pt idx="4">
                  <c:v>2.75</c:v>
                </c:pt>
                <c:pt idx="5">
                  <c:v>3</c:v>
                </c:pt>
                <c:pt idx="6">
                  <c:v>3</c:v>
                </c:pt>
                <c:pt idx="7">
                  <c:v>2.5</c:v>
                </c:pt>
                <c:pt idx="8">
                  <c:v>2.25</c:v>
                </c:pt>
                <c:pt idx="9">
                  <c:v>2.5</c:v>
                </c:pt>
                <c:pt idx="10">
                  <c:v>2.25</c:v>
                </c:pt>
                <c:pt idx="11">
                  <c:v>2.5</c:v>
                </c:pt>
                <c:pt idx="12">
                  <c:v>2.25</c:v>
                </c:pt>
                <c:pt idx="13">
                  <c:v>2.75</c:v>
                </c:pt>
                <c:pt idx="14">
                  <c:v>2.5</c:v>
                </c:pt>
              </c:numCache>
            </c:numRef>
          </c:val>
        </c:ser>
        <c:dLbls>
          <c:showLegendKey val="0"/>
          <c:showVal val="0"/>
          <c:showCatName val="0"/>
          <c:showSerName val="0"/>
          <c:showPercent val="0"/>
          <c:showBubbleSize val="0"/>
        </c:dLbls>
        <c:gapWidth val="150"/>
        <c:axId val="95128960"/>
        <c:axId val="95138944"/>
      </c:barChart>
      <c:catAx>
        <c:axId val="95128960"/>
        <c:scaling>
          <c:orientation val="minMax"/>
        </c:scaling>
        <c:delete val="0"/>
        <c:axPos val="b"/>
        <c:numFmt formatCode="General" sourceLinked="1"/>
        <c:majorTickMark val="out"/>
        <c:minorTickMark val="none"/>
        <c:tickLblPos val="nextTo"/>
        <c:crossAx val="95138944"/>
        <c:crosses val="autoZero"/>
        <c:auto val="1"/>
        <c:lblAlgn val="ctr"/>
        <c:lblOffset val="100"/>
        <c:noMultiLvlLbl val="0"/>
      </c:catAx>
      <c:valAx>
        <c:axId val="95138944"/>
        <c:scaling>
          <c:orientation val="minMax"/>
          <c:max val="3"/>
        </c:scaling>
        <c:delete val="0"/>
        <c:axPos val="l"/>
        <c:majorGridlines/>
        <c:numFmt formatCode="0.00" sourceLinked="1"/>
        <c:majorTickMark val="out"/>
        <c:minorTickMark val="out"/>
        <c:tickLblPos val="nextTo"/>
        <c:crossAx val="95128960"/>
        <c:crosses val="autoZero"/>
        <c:crossBetween val="between"/>
        <c:majorUnit val="0.75000000000000433"/>
        <c:minorUnit val="0.25"/>
      </c:valAx>
    </c:plotArea>
    <c:plotVisOnly val="1"/>
    <c:dispBlanksAs val="gap"/>
    <c:showDLblsOverMax val="0"/>
  </c:chart>
  <c:printSettings>
    <c:headerFooter/>
    <c:pageMargins b="0.75000000000000466" l="0.70000000000000062" r="0.70000000000000062" t="0.750000000000004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Narrow" pitchFamily="34" charset="0"/>
              </a:defRPr>
            </a:pPr>
            <a:r>
              <a:rPr lang="fr-FR" sz="1100" b="1">
                <a:latin typeface="Arial Narrow" pitchFamily="34" charset="0"/>
              </a:rPr>
              <a:t>Graphique </a:t>
            </a:r>
            <a:r>
              <a:rPr lang="fr-FR" sz="1100" b="1" baseline="0">
                <a:latin typeface="Arial Narrow" pitchFamily="34" charset="0"/>
              </a:rPr>
              <a:t>: </a:t>
            </a:r>
            <a:r>
              <a:rPr lang="fr-FR" sz="1100" b="0">
                <a:latin typeface="Arial Narrow" pitchFamily="34" charset="0"/>
              </a:rPr>
              <a:t>Répartition</a:t>
            </a:r>
            <a:r>
              <a:rPr lang="fr-FR" sz="1100" b="0" baseline="0">
                <a:latin typeface="Arial Narrow" pitchFamily="34" charset="0"/>
              </a:rPr>
              <a:t> des CVPC suivant classe de performance par domaine</a:t>
            </a:r>
            <a:endParaRPr lang="fr-FR" sz="1100" b="0">
              <a:latin typeface="Arial Narrow" pitchFamily="34" charset="0"/>
            </a:endParaRPr>
          </a:p>
        </c:rich>
      </c:tx>
      <c:overlay val="0"/>
    </c:title>
    <c:autoTitleDeleted val="0"/>
    <c:plotArea>
      <c:layout/>
      <c:barChart>
        <c:barDir val="col"/>
        <c:grouping val="clustered"/>
        <c:varyColors val="0"/>
        <c:ser>
          <c:idx val="0"/>
          <c:order val="0"/>
          <c:tx>
            <c:strRef>
              <c:f>'SYNTHE AUTO EVA'!$A$8</c:f>
              <c:strCache>
                <c:ptCount val="1"/>
                <c:pt idx="0">
                  <c:v>% de CVPC ayant une faible performance (+)</c:v>
                </c:pt>
              </c:strCache>
            </c:strRef>
          </c:tx>
          <c:spPr>
            <a:solidFill>
              <a:srgbClr val="FF0000"/>
            </a:solidFill>
          </c:spPr>
          <c:invertIfNegative val="0"/>
          <c:cat>
            <c:multiLvlStrRef>
              <c:f>('SYNTHE AUTO EVA'!$I$2:$I$3,'SYNTHE AUTO EVA'!$M$2:$M$3,'SYNTHE AUTO EVA'!$Q$2:$Q$3,'SYNTHE AUTO EVA'!$V$2:$V$3,'SYNTHE AUTO EVA'!$AC$2:$AC$3,'SYNTHE AUTO EVA'!$AG$2:$AG$3)</c:f>
              <c:multiLvlStrCache>
                <c:ptCount val="6"/>
                <c:lvl>
                  <c:pt idx="0">
                    <c:v>GOUVERNANCE</c:v>
                  </c:pt>
                  <c:pt idx="1">
                    <c:v>GESTION DES RESSOURCES</c:v>
                  </c:pt>
                  <c:pt idx="2">
                    <c:v>GESTION DU CREDIT</c:v>
                  </c:pt>
                  <c:pt idx="3">
                    <c:v>GESTION DES INTRANTS</c:v>
                  </c:pt>
                  <c:pt idx="4">
                    <c:v>COMMERCIALISATION</c:v>
                  </c:pt>
                  <c:pt idx="5">
                    <c:v>CAPACITE STRATEGIQUES</c:v>
                  </c:pt>
                </c:lvl>
                <c:lvl>
                  <c:pt idx="0">
                    <c:v>A</c:v>
                  </c:pt>
                  <c:pt idx="1">
                    <c:v>B</c:v>
                  </c:pt>
                  <c:pt idx="2">
                    <c:v>C</c:v>
                  </c:pt>
                  <c:pt idx="3">
                    <c:v> D</c:v>
                  </c:pt>
                  <c:pt idx="4">
                    <c:v>E</c:v>
                  </c:pt>
                  <c:pt idx="5">
                    <c:v>F</c:v>
                  </c:pt>
                </c:lvl>
              </c:multiLvlStrCache>
            </c:multiLvlStrRef>
          </c:cat>
          <c:val>
            <c:numRef>
              <c:f>('SYNTHE AUTO EVA'!$I$8,'SYNTHE AUTO EVA'!$M$8,'SYNTHE AUTO EVA'!$Q$8,'SYNTHE AUTO EVA'!$V$8,'SYNTHE AUTO EVA'!$AC$8,'SYNTHE AUTO EVA'!$AG$8)</c:f>
              <c:numCache>
                <c:formatCode>0%</c:formatCode>
                <c:ptCount val="6"/>
                <c:pt idx="0">
                  <c:v>0.2</c:v>
                </c:pt>
                <c:pt idx="1">
                  <c:v>0</c:v>
                </c:pt>
                <c:pt idx="2">
                  <c:v>0</c:v>
                </c:pt>
                <c:pt idx="3">
                  <c:v>0</c:v>
                </c:pt>
                <c:pt idx="4">
                  <c:v>0</c:v>
                </c:pt>
                <c:pt idx="5">
                  <c:v>0.46666666666666667</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multiLvlStrRef>
              <c:f>('SYNTHE AUTO EVA'!$I$2:$I$3,'SYNTHE AUTO EVA'!$M$2:$M$3,'SYNTHE AUTO EVA'!$Q$2:$Q$3,'SYNTHE AUTO EVA'!$V$2:$V$3,'SYNTHE AUTO EVA'!$AC$2:$AC$3,'SYNTHE AUTO EVA'!$AG$2:$AG$3)</c:f>
              <c:multiLvlStrCache>
                <c:ptCount val="6"/>
                <c:lvl>
                  <c:pt idx="0">
                    <c:v>GOUVERNANCE</c:v>
                  </c:pt>
                  <c:pt idx="1">
                    <c:v>GESTION DES RESSOURCES</c:v>
                  </c:pt>
                  <c:pt idx="2">
                    <c:v>GESTION DU CREDIT</c:v>
                  </c:pt>
                  <c:pt idx="3">
                    <c:v>GESTION DES INTRANTS</c:v>
                  </c:pt>
                  <c:pt idx="4">
                    <c:v>COMMERCIALISATION</c:v>
                  </c:pt>
                  <c:pt idx="5">
                    <c:v>CAPACITE STRATEGIQUES</c:v>
                  </c:pt>
                </c:lvl>
                <c:lvl>
                  <c:pt idx="0">
                    <c:v>A</c:v>
                  </c:pt>
                  <c:pt idx="1">
                    <c:v>B</c:v>
                  </c:pt>
                  <c:pt idx="2">
                    <c:v>C</c:v>
                  </c:pt>
                  <c:pt idx="3">
                    <c:v> D</c:v>
                  </c:pt>
                  <c:pt idx="4">
                    <c:v>E</c:v>
                  </c:pt>
                  <c:pt idx="5">
                    <c:v>F</c:v>
                  </c:pt>
                </c:lvl>
              </c:multiLvlStrCache>
            </c:multiLvlStrRef>
          </c:cat>
          <c:val>
            <c:numRef>
              <c:f>('SYNTHE AUTO EVA'!$I$9,'SYNTHE AUTO EVA'!$M$9,'SYNTHE AUTO EVA'!$Q$9,'SYNTHE AUTO EVA'!$V$9,'SYNTHE AUTO EVA'!$AC$9,'SYNTHE AUTO EVA'!$AG$9)</c:f>
              <c:numCache>
                <c:formatCode>0%</c:formatCode>
                <c:ptCount val="6"/>
                <c:pt idx="0">
                  <c:v>0.73333333333333328</c:v>
                </c:pt>
                <c:pt idx="1">
                  <c:v>0.53333333333333333</c:v>
                </c:pt>
                <c:pt idx="2">
                  <c:v>0.13333333333333333</c:v>
                </c:pt>
                <c:pt idx="3">
                  <c:v>0</c:v>
                </c:pt>
                <c:pt idx="4">
                  <c:v>0</c:v>
                </c:pt>
                <c:pt idx="5">
                  <c:v>0.53333333333333333</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multiLvlStrRef>
              <c:f>('SYNTHE AUTO EVA'!$I$2:$I$3,'SYNTHE AUTO EVA'!$M$2:$M$3,'SYNTHE AUTO EVA'!$Q$2:$Q$3,'SYNTHE AUTO EVA'!$V$2:$V$3,'SYNTHE AUTO EVA'!$AC$2:$AC$3,'SYNTHE AUTO EVA'!$AG$2:$AG$3)</c:f>
              <c:multiLvlStrCache>
                <c:ptCount val="6"/>
                <c:lvl>
                  <c:pt idx="0">
                    <c:v>GOUVERNANCE</c:v>
                  </c:pt>
                  <c:pt idx="1">
                    <c:v>GESTION DES RESSOURCES</c:v>
                  </c:pt>
                  <c:pt idx="2">
                    <c:v>GESTION DU CREDIT</c:v>
                  </c:pt>
                  <c:pt idx="3">
                    <c:v>GESTION DES INTRANTS</c:v>
                  </c:pt>
                  <c:pt idx="4">
                    <c:v>COMMERCIALISATION</c:v>
                  </c:pt>
                  <c:pt idx="5">
                    <c:v>CAPACITE STRATEGIQUES</c:v>
                  </c:pt>
                </c:lvl>
                <c:lvl>
                  <c:pt idx="0">
                    <c:v>A</c:v>
                  </c:pt>
                  <c:pt idx="1">
                    <c:v>B</c:v>
                  </c:pt>
                  <c:pt idx="2">
                    <c:v>C</c:v>
                  </c:pt>
                  <c:pt idx="3">
                    <c:v> D</c:v>
                  </c:pt>
                  <c:pt idx="4">
                    <c:v>E</c:v>
                  </c:pt>
                  <c:pt idx="5">
                    <c:v>F</c:v>
                  </c:pt>
                </c:lvl>
              </c:multiLvlStrCache>
            </c:multiLvlStrRef>
          </c:cat>
          <c:val>
            <c:numRef>
              <c:f>('SYNTHE AUTO EVA'!$I$10,'SYNTHE AUTO EVA'!$M$10,'SYNTHE AUTO EVA'!$Q$10,'SYNTHE AUTO EVA'!$V$10,'SYNTHE AUTO EVA'!$AC$10,'SYNTHE AUTO EVA'!$AG$10)</c:f>
              <c:numCache>
                <c:formatCode>0%</c:formatCode>
                <c:ptCount val="6"/>
                <c:pt idx="0">
                  <c:v>6.6666666666666666E-2</c:v>
                </c:pt>
                <c:pt idx="1">
                  <c:v>0.46666666666666667</c:v>
                </c:pt>
                <c:pt idx="2">
                  <c:v>0.8666666666666667</c:v>
                </c:pt>
                <c:pt idx="3">
                  <c:v>1</c:v>
                </c:pt>
                <c:pt idx="4">
                  <c:v>1</c:v>
                </c:pt>
                <c:pt idx="5">
                  <c:v>0</c:v>
                </c:pt>
              </c:numCache>
            </c:numRef>
          </c:val>
        </c:ser>
        <c:dLbls>
          <c:showLegendKey val="0"/>
          <c:showVal val="0"/>
          <c:showCatName val="0"/>
          <c:showSerName val="0"/>
          <c:showPercent val="0"/>
          <c:showBubbleSize val="0"/>
        </c:dLbls>
        <c:gapWidth val="150"/>
        <c:axId val="95240192"/>
        <c:axId val="95241728"/>
      </c:barChart>
      <c:catAx>
        <c:axId val="95240192"/>
        <c:scaling>
          <c:orientation val="minMax"/>
        </c:scaling>
        <c:delete val="0"/>
        <c:axPos val="b"/>
        <c:majorTickMark val="none"/>
        <c:minorTickMark val="none"/>
        <c:tickLblPos val="nextTo"/>
        <c:crossAx val="95241728"/>
        <c:crosses val="autoZero"/>
        <c:auto val="1"/>
        <c:lblAlgn val="ctr"/>
        <c:lblOffset val="100"/>
        <c:noMultiLvlLbl val="0"/>
      </c:catAx>
      <c:valAx>
        <c:axId val="95241728"/>
        <c:scaling>
          <c:orientation val="minMax"/>
          <c:max val="1"/>
          <c:min val="0"/>
        </c:scaling>
        <c:delete val="0"/>
        <c:axPos val="l"/>
        <c:majorGridlines/>
        <c:title>
          <c:tx>
            <c:rich>
              <a:bodyPr/>
              <a:lstStyle/>
              <a:p>
                <a:pPr>
                  <a:defRPr/>
                </a:pPr>
                <a:r>
                  <a:rPr lang="fr-FR"/>
                  <a:t>Pourcentage</a:t>
                </a:r>
                <a:r>
                  <a:rPr lang="fr-FR" baseline="0"/>
                  <a:t> de  CVPC</a:t>
                </a:r>
                <a:endParaRPr lang="fr-FR"/>
              </a:p>
            </c:rich>
          </c:tx>
          <c:layout>
            <c:manualLayout>
              <c:xMode val="edge"/>
              <c:yMode val="edge"/>
              <c:x val="0.24237827937702494"/>
              <c:y val="9.4833998443280013E-2"/>
            </c:manualLayout>
          </c:layout>
          <c:overlay val="0"/>
        </c:title>
        <c:numFmt formatCode="0%" sourceLinked="1"/>
        <c:majorTickMark val="none"/>
        <c:minorTickMark val="none"/>
        <c:tickLblPos val="nextTo"/>
        <c:crossAx val="95240192"/>
        <c:crosses val="autoZero"/>
        <c:crossBetween val="between"/>
        <c:majorUnit val="0.2"/>
        <c:minorUnit val="2.0000000000000011E-2"/>
      </c:valAx>
      <c:dTable>
        <c:showHorzBorder val="1"/>
        <c:showVertBorder val="1"/>
        <c:showOutline val="1"/>
        <c:showKeys val="1"/>
      </c:dTable>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Arial Narrow" pitchFamily="34" charset="0"/>
              </a:defRPr>
            </a:pPr>
            <a:r>
              <a:rPr lang="fr-FR" sz="1200" b="1" i="0" u="none" strike="noStrike" baseline="0">
                <a:latin typeface="Arial Narrow" pitchFamily="34" charset="0"/>
              </a:rPr>
              <a:t>Graphe 3.1.4.: </a:t>
            </a:r>
            <a:r>
              <a:rPr lang="fr-FR" sz="1200" b="0" i="0" u="none" strike="noStrike" baseline="0">
                <a:latin typeface="Arial Narrow" pitchFamily="34" charset="0"/>
              </a:rPr>
              <a:t>Répartition des CVPC suivant performance en gestion des ressources selon différents critères </a:t>
            </a:r>
            <a:endParaRPr lang="fr-FR" sz="1200">
              <a:latin typeface="Arial Narrow" pitchFamily="34" charset="0"/>
            </a:endParaRPr>
          </a:p>
        </c:rich>
      </c:tx>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strRef>
              <c:f>'SYNTHE AUTO EVA'!$J$2:$L$2</c:f>
              <c:strCache>
                <c:ptCount val="3"/>
                <c:pt idx="0">
                  <c:v>B.1</c:v>
                </c:pt>
                <c:pt idx="1">
                  <c:v>B.2</c:v>
                </c:pt>
                <c:pt idx="2">
                  <c:v>B.3</c:v>
                </c:pt>
              </c:strCache>
            </c:strRef>
          </c:cat>
          <c:val>
            <c:numRef>
              <c:f>'SYNTHE AUTO EVA'!$J$8:$L$8</c:f>
              <c:numCache>
                <c:formatCode>0%</c:formatCode>
                <c:ptCount val="3"/>
                <c:pt idx="0">
                  <c:v>0.2</c:v>
                </c:pt>
                <c:pt idx="1">
                  <c:v>0</c:v>
                </c:pt>
                <c:pt idx="2">
                  <c:v>0</c:v>
                </c:pt>
              </c:numCache>
            </c:numRef>
          </c:val>
        </c:ser>
        <c:ser>
          <c:idx val="1"/>
          <c:order val="1"/>
          <c:tx>
            <c:strRef>
              <c:f>'SYNTHE AUTO EVA'!$A$9</c:f>
              <c:strCache>
                <c:ptCount val="1"/>
                <c:pt idx="0">
                  <c:v>% de CVPC ayant une performance moyenne (++)</c:v>
                </c:pt>
              </c:strCache>
            </c:strRef>
          </c:tx>
          <c:spPr>
            <a:solidFill>
              <a:srgbClr val="FFFF00"/>
            </a:solidFill>
            <a:ln w="19050">
              <a:prstDash val="sysDash"/>
            </a:ln>
          </c:spPr>
          <c:invertIfNegative val="0"/>
          <c:cat>
            <c:strRef>
              <c:f>'SYNTHE AUTO EVA'!$J$2:$L$2</c:f>
              <c:strCache>
                <c:ptCount val="3"/>
                <c:pt idx="0">
                  <c:v>B.1</c:v>
                </c:pt>
                <c:pt idx="1">
                  <c:v>B.2</c:v>
                </c:pt>
                <c:pt idx="2">
                  <c:v>B.3</c:v>
                </c:pt>
              </c:strCache>
            </c:strRef>
          </c:cat>
          <c:val>
            <c:numRef>
              <c:f>'SYNTHE AUTO EVA'!$J$9:$L$9</c:f>
              <c:numCache>
                <c:formatCode>0%</c:formatCode>
                <c:ptCount val="3"/>
                <c:pt idx="0">
                  <c:v>0.8</c:v>
                </c:pt>
                <c:pt idx="1">
                  <c:v>0.73333333333333328</c:v>
                </c:pt>
                <c:pt idx="2">
                  <c:v>0.66666666666666663</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EVA'!$J$2:$L$2</c:f>
              <c:strCache>
                <c:ptCount val="3"/>
                <c:pt idx="0">
                  <c:v>B.1</c:v>
                </c:pt>
                <c:pt idx="1">
                  <c:v>B.2</c:v>
                </c:pt>
                <c:pt idx="2">
                  <c:v>B.3</c:v>
                </c:pt>
              </c:strCache>
            </c:strRef>
          </c:cat>
          <c:val>
            <c:numRef>
              <c:f>'SYNTHE AUTO EVA'!$J$10:$L$10</c:f>
              <c:numCache>
                <c:formatCode>0%</c:formatCode>
                <c:ptCount val="3"/>
                <c:pt idx="0">
                  <c:v>0</c:v>
                </c:pt>
                <c:pt idx="1">
                  <c:v>0.26666666666666666</c:v>
                </c:pt>
                <c:pt idx="2">
                  <c:v>0.33333333333333331</c:v>
                </c:pt>
              </c:numCache>
            </c:numRef>
          </c:val>
        </c:ser>
        <c:dLbls>
          <c:showLegendKey val="0"/>
          <c:showVal val="0"/>
          <c:showCatName val="0"/>
          <c:showSerName val="0"/>
          <c:showPercent val="0"/>
          <c:showBubbleSize val="0"/>
        </c:dLbls>
        <c:gapWidth val="150"/>
        <c:overlap val="100"/>
        <c:axId val="93625344"/>
        <c:axId val="93627136"/>
      </c:barChart>
      <c:catAx>
        <c:axId val="93625344"/>
        <c:scaling>
          <c:orientation val="minMax"/>
        </c:scaling>
        <c:delete val="0"/>
        <c:axPos val="b"/>
        <c:numFmt formatCode="General" sourceLinked="1"/>
        <c:majorTickMark val="none"/>
        <c:minorTickMark val="none"/>
        <c:tickLblPos val="nextTo"/>
        <c:crossAx val="93627136"/>
        <c:crosses val="autoZero"/>
        <c:auto val="1"/>
        <c:lblAlgn val="ctr"/>
        <c:lblOffset val="100"/>
        <c:noMultiLvlLbl val="0"/>
      </c:catAx>
      <c:valAx>
        <c:axId val="93627136"/>
        <c:scaling>
          <c:orientation val="minMax"/>
          <c:max val="1"/>
        </c:scaling>
        <c:delete val="1"/>
        <c:axPos val="l"/>
        <c:numFmt formatCode="0%" sourceLinked="1"/>
        <c:majorTickMark val="none"/>
        <c:minorTickMark val="none"/>
        <c:tickLblPos val="none"/>
        <c:crossAx val="93625344"/>
        <c:crosses val="autoZero"/>
        <c:crossBetween val="between"/>
        <c:majorUnit val="0.2"/>
        <c:minorUnit val="2.0000000000000011E-2"/>
      </c:valAx>
      <c:dTable>
        <c:showHorzBorder val="1"/>
        <c:showVertBorder val="1"/>
        <c:showOutline val="1"/>
        <c:showKeys val="1"/>
      </c:dTable>
    </c:plotArea>
    <c:plotVisOnly val="1"/>
    <c:dispBlanksAs val="gap"/>
    <c:showDLblsOverMax val="0"/>
  </c:chart>
  <c:printSettings>
    <c:headerFooter/>
    <c:pageMargins b="0.75000000000000411" l="0.70000000000000062" r="0.70000000000000062" t="0.750000000000004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fr-FR" sz="1200">
                <a:latin typeface="Arial Narrow" pitchFamily="34" charset="0"/>
              </a:rPr>
              <a:t>Graphe 3.2.1: </a:t>
            </a:r>
            <a:r>
              <a:rPr lang="fr-FR" sz="1200" b="0">
                <a:latin typeface="Arial Narrow" pitchFamily="34" charset="0"/>
              </a:rPr>
              <a:t>Performance moyenne CVPC gestion du crédit</a:t>
            </a:r>
          </a:p>
        </c:rich>
      </c:tx>
      <c:layout/>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00B050"/>
            </a:solidFill>
          </c:spPr>
          <c:invertIfNegative val="0"/>
          <c:dPt>
            <c:idx val="1"/>
            <c:invertIfNegative val="0"/>
            <c:bubble3D val="0"/>
            <c:spPr>
              <a:solidFill>
                <a:srgbClr val="FF0000"/>
              </a:solidFill>
            </c:spPr>
          </c:dPt>
          <c:cat>
            <c:multiLvlStrRef>
              <c:f>'SYNTHE AUTO EVA'!$N$2:$Q$3</c:f>
              <c:multiLvlStrCache>
                <c:ptCount val="4"/>
                <c:lvl>
                  <c:pt idx="0">
                    <c:v>CAPACITE DES ELUS A EVALUER LA DETTE DES MEMBRES</c:v>
                  </c:pt>
                  <c:pt idx="1">
                    <c:v>MOBILISATION DU CREDIT AU PROFIT DE LEURS MEMBRES</c:v>
                  </c:pt>
                  <c:pt idx="2">
                    <c:v>RECOUVREMENT DES CREDITS</c:v>
                  </c:pt>
                  <c:pt idx="3">
                    <c:v>GESTION DU CREDIT</c:v>
                  </c:pt>
                </c:lvl>
                <c:lvl>
                  <c:pt idx="0">
                    <c:v>C.1</c:v>
                  </c:pt>
                  <c:pt idx="1">
                    <c:v>C.2</c:v>
                  </c:pt>
                  <c:pt idx="2">
                    <c:v>C.3</c:v>
                  </c:pt>
                  <c:pt idx="3">
                    <c:v>C</c:v>
                  </c:pt>
                </c:lvl>
              </c:multiLvlStrCache>
            </c:multiLvlStrRef>
          </c:cat>
          <c:val>
            <c:numRef>
              <c:f>'SYNTHE AUTO EVA'!$N$11:$Q$11</c:f>
              <c:numCache>
                <c:formatCode>0.00</c:formatCode>
                <c:ptCount val="4"/>
                <c:pt idx="0">
                  <c:v>3</c:v>
                </c:pt>
                <c:pt idx="1">
                  <c:v>1</c:v>
                </c:pt>
                <c:pt idx="2">
                  <c:v>2.8666666666666667</c:v>
                </c:pt>
                <c:pt idx="3">
                  <c:v>2.2888888888888888</c:v>
                </c:pt>
              </c:numCache>
            </c:numRef>
          </c:val>
        </c:ser>
        <c:dLbls>
          <c:showLegendKey val="0"/>
          <c:showVal val="0"/>
          <c:showCatName val="0"/>
          <c:showSerName val="0"/>
          <c:showPercent val="0"/>
          <c:showBubbleSize val="0"/>
        </c:dLbls>
        <c:gapWidth val="150"/>
        <c:axId val="93923584"/>
        <c:axId val="93929472"/>
      </c:barChart>
      <c:catAx>
        <c:axId val="93923584"/>
        <c:scaling>
          <c:orientation val="minMax"/>
        </c:scaling>
        <c:delete val="0"/>
        <c:axPos val="b"/>
        <c:numFmt formatCode="General" sourceLinked="1"/>
        <c:majorTickMark val="out"/>
        <c:minorTickMark val="none"/>
        <c:tickLblPos val="nextTo"/>
        <c:crossAx val="93929472"/>
        <c:crosses val="autoZero"/>
        <c:auto val="1"/>
        <c:lblAlgn val="ctr"/>
        <c:lblOffset val="100"/>
        <c:noMultiLvlLbl val="0"/>
      </c:catAx>
      <c:valAx>
        <c:axId val="93929472"/>
        <c:scaling>
          <c:orientation val="minMax"/>
          <c:max val="3"/>
          <c:min val="0"/>
        </c:scaling>
        <c:delete val="0"/>
        <c:axPos val="l"/>
        <c:majorGridlines/>
        <c:numFmt formatCode="0.00" sourceLinked="1"/>
        <c:majorTickMark val="out"/>
        <c:minorTickMark val="out"/>
        <c:tickLblPos val="nextTo"/>
        <c:crossAx val="93923584"/>
        <c:crosses val="autoZero"/>
        <c:crossBetween val="between"/>
        <c:majorUnit val="0.75000000000000377"/>
        <c:minorUnit val="0.25"/>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fr-FR" sz="1200">
                <a:latin typeface="Arial Narrow" pitchFamily="34" charset="0"/>
              </a:rPr>
              <a:t>Gaphe 3.2.2.: </a:t>
            </a:r>
            <a:r>
              <a:rPr lang="fr-FR" sz="1200" b="0" i="0" u="none" strike="noStrike" baseline="0">
                <a:latin typeface="Arial Narrow" pitchFamily="34" charset="0"/>
              </a:rPr>
              <a:t>Répartition des CVPC suivant performance en gestion du CREDIT selon différents critères </a:t>
            </a:r>
            <a:r>
              <a:rPr lang="fr-FR" sz="1200" baseline="0">
                <a:latin typeface="Arial Narrow" pitchFamily="34" charset="0"/>
              </a:rPr>
              <a:t> </a:t>
            </a:r>
            <a:endParaRPr lang="fr-FR" sz="1200">
              <a:latin typeface="Arial Narrow" pitchFamily="34" charset="0"/>
            </a:endParaRPr>
          </a:p>
        </c:rich>
      </c:tx>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strRef>
              <c:f>'SYNTHE AUTO EVA'!$N$2:$P$2</c:f>
              <c:strCache>
                <c:ptCount val="3"/>
                <c:pt idx="0">
                  <c:v>C.1</c:v>
                </c:pt>
                <c:pt idx="1">
                  <c:v>C.2</c:v>
                </c:pt>
                <c:pt idx="2">
                  <c:v>C.3</c:v>
                </c:pt>
              </c:strCache>
            </c:strRef>
          </c:cat>
          <c:val>
            <c:numRef>
              <c:f>'SYNTHE AUTO EVA'!$N$8:$P$8</c:f>
              <c:numCache>
                <c:formatCode>0%</c:formatCode>
                <c:ptCount val="3"/>
                <c:pt idx="0">
                  <c:v>0</c:v>
                </c:pt>
                <c:pt idx="1">
                  <c:v>1</c:v>
                </c:pt>
                <c:pt idx="2">
                  <c:v>0</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strRef>
              <c:f>'SYNTHE AUTO EVA'!$N$2:$P$2</c:f>
              <c:strCache>
                <c:ptCount val="3"/>
                <c:pt idx="0">
                  <c:v>C.1</c:v>
                </c:pt>
                <c:pt idx="1">
                  <c:v>C.2</c:v>
                </c:pt>
                <c:pt idx="2">
                  <c:v>C.3</c:v>
                </c:pt>
              </c:strCache>
            </c:strRef>
          </c:cat>
          <c:val>
            <c:numRef>
              <c:f>'SYNTHE AUTO EVA'!$N$9:$P$9</c:f>
              <c:numCache>
                <c:formatCode>0%</c:formatCode>
                <c:ptCount val="3"/>
                <c:pt idx="0">
                  <c:v>0</c:v>
                </c:pt>
                <c:pt idx="1">
                  <c:v>0</c:v>
                </c:pt>
                <c:pt idx="2">
                  <c:v>0.13333333333333333</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EVA'!$N$2:$P$2</c:f>
              <c:strCache>
                <c:ptCount val="3"/>
                <c:pt idx="0">
                  <c:v>C.1</c:v>
                </c:pt>
                <c:pt idx="1">
                  <c:v>C.2</c:v>
                </c:pt>
                <c:pt idx="2">
                  <c:v>C.3</c:v>
                </c:pt>
              </c:strCache>
            </c:strRef>
          </c:cat>
          <c:val>
            <c:numRef>
              <c:f>'SYNTHE AUTO EVA'!$N$10:$P$10</c:f>
              <c:numCache>
                <c:formatCode>0%</c:formatCode>
                <c:ptCount val="3"/>
                <c:pt idx="0">
                  <c:v>1</c:v>
                </c:pt>
                <c:pt idx="1">
                  <c:v>0</c:v>
                </c:pt>
                <c:pt idx="2">
                  <c:v>0.8666666666666667</c:v>
                </c:pt>
              </c:numCache>
            </c:numRef>
          </c:val>
        </c:ser>
        <c:dLbls>
          <c:showLegendKey val="0"/>
          <c:showVal val="0"/>
          <c:showCatName val="0"/>
          <c:showSerName val="0"/>
          <c:showPercent val="0"/>
          <c:showBubbleSize val="0"/>
        </c:dLbls>
        <c:gapWidth val="150"/>
        <c:overlap val="100"/>
        <c:axId val="93965312"/>
        <c:axId val="93967104"/>
      </c:barChart>
      <c:catAx>
        <c:axId val="93965312"/>
        <c:scaling>
          <c:orientation val="minMax"/>
        </c:scaling>
        <c:delete val="0"/>
        <c:axPos val="b"/>
        <c:numFmt formatCode="General" sourceLinked="1"/>
        <c:majorTickMark val="none"/>
        <c:minorTickMark val="none"/>
        <c:tickLblPos val="nextTo"/>
        <c:crossAx val="93967104"/>
        <c:crosses val="autoZero"/>
        <c:auto val="1"/>
        <c:lblAlgn val="ctr"/>
        <c:lblOffset val="100"/>
        <c:noMultiLvlLbl val="0"/>
      </c:catAx>
      <c:valAx>
        <c:axId val="93967104"/>
        <c:scaling>
          <c:orientation val="minMax"/>
        </c:scaling>
        <c:delete val="1"/>
        <c:axPos val="l"/>
        <c:numFmt formatCode="0%" sourceLinked="1"/>
        <c:majorTickMark val="none"/>
        <c:minorTickMark val="none"/>
        <c:tickLblPos val="none"/>
        <c:crossAx val="93965312"/>
        <c:crosses val="autoZero"/>
        <c:crossBetween val="between"/>
      </c:valAx>
      <c:dTable>
        <c:showHorzBorder val="1"/>
        <c:showVertBorder val="1"/>
        <c:showOutline val="1"/>
        <c:showKeys val="1"/>
      </c:dTable>
      <c:spPr>
        <a:noFill/>
        <a:ln w="25400">
          <a:noFill/>
        </a:ln>
      </c:spPr>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Graphe 3.2.3.:  </a:t>
            </a:r>
            <a:r>
              <a:rPr lang="en-US" sz="1200" b="0">
                <a:latin typeface="Arial Narrow" pitchFamily="34" charset="0"/>
              </a:rPr>
              <a:t>Performance moyenne CVPC Gestion des intrants</a:t>
            </a:r>
          </a:p>
        </c:rich>
      </c:tx>
      <c:layout>
        <c:manualLayout>
          <c:xMode val="edge"/>
          <c:yMode val="edge"/>
          <c:x val="0.30604387929257454"/>
          <c:y val="1.1722081447852587E-2"/>
        </c:manualLayout>
      </c:layout>
      <c:overlay val="0"/>
    </c:title>
    <c:autoTitleDeleted val="0"/>
    <c:plotArea>
      <c:layout>
        <c:manualLayout>
          <c:layoutTarget val="inner"/>
          <c:xMode val="edge"/>
          <c:yMode val="edge"/>
          <c:x val="8.0712037256468513E-2"/>
          <c:y val="0.14066772187968307"/>
          <c:w val="0.89309748614388518"/>
          <c:h val="0.22726845572040799"/>
        </c:manualLayout>
      </c:layout>
      <c:barChart>
        <c:barDir val="col"/>
        <c:grouping val="clustered"/>
        <c:varyColors val="0"/>
        <c:ser>
          <c:idx val="0"/>
          <c:order val="0"/>
          <c:tx>
            <c:strRef>
              <c:f>'SYNTHE AUTO EVA'!$B$11</c:f>
              <c:strCache>
                <c:ptCount val="1"/>
                <c:pt idx="0">
                  <c:v>Performance moyenne par critère et domaine</c:v>
                </c:pt>
              </c:strCache>
            </c:strRef>
          </c:tx>
          <c:spPr>
            <a:solidFill>
              <a:srgbClr val="00B050"/>
            </a:solidFill>
          </c:spPr>
          <c:invertIfNegative val="0"/>
          <c:dPt>
            <c:idx val="3"/>
            <c:invertIfNegative val="0"/>
            <c:bubble3D val="0"/>
            <c:spPr>
              <a:solidFill>
                <a:srgbClr val="FFFF00"/>
              </a:solidFill>
            </c:spPr>
          </c:dPt>
          <c:cat>
            <c:multiLvlStrRef>
              <c:f>'SYNTHE AUTO EVA'!$R$2:$V$3</c:f>
              <c:multiLvlStrCache>
                <c:ptCount val="5"/>
                <c:lvl>
                  <c:pt idx="0">
                    <c:v>EXPRESSION DES BESOINS EN INTRANTS</c:v>
                  </c:pt>
                  <c:pt idx="1">
                    <c:v>RECEPTION DES INTRANTS</c:v>
                  </c:pt>
                  <c:pt idx="2">
                    <c:v>DISTRIBUTION DES INTRANTS</c:v>
                  </c:pt>
                  <c:pt idx="3">
                    <c:v>RECEPTION DES INTRANTS PAR LES MEMBRES</c:v>
                  </c:pt>
                  <c:pt idx="4">
                    <c:v>GESTION DES INTRANTS</c:v>
                  </c:pt>
                </c:lvl>
                <c:lvl>
                  <c:pt idx="0">
                    <c:v>D.1</c:v>
                  </c:pt>
                  <c:pt idx="1">
                    <c:v>D.2</c:v>
                  </c:pt>
                  <c:pt idx="2">
                    <c:v>D.3</c:v>
                  </c:pt>
                  <c:pt idx="3">
                    <c:v>D.4</c:v>
                  </c:pt>
                  <c:pt idx="4">
                    <c:v> D</c:v>
                  </c:pt>
                </c:lvl>
              </c:multiLvlStrCache>
            </c:multiLvlStrRef>
          </c:cat>
          <c:val>
            <c:numRef>
              <c:f>'SYNTHE AUTO EVA'!$R$11:$V$11</c:f>
              <c:numCache>
                <c:formatCode>0.00</c:formatCode>
                <c:ptCount val="5"/>
                <c:pt idx="0">
                  <c:v>3</c:v>
                </c:pt>
                <c:pt idx="1">
                  <c:v>2.5333333333333332</c:v>
                </c:pt>
                <c:pt idx="2">
                  <c:v>2.4666666666666668</c:v>
                </c:pt>
                <c:pt idx="3">
                  <c:v>2.2000000000000002</c:v>
                </c:pt>
                <c:pt idx="4">
                  <c:v>2.5499999999999998</c:v>
                </c:pt>
              </c:numCache>
            </c:numRef>
          </c:val>
        </c:ser>
        <c:dLbls>
          <c:showLegendKey val="0"/>
          <c:showVal val="0"/>
          <c:showCatName val="0"/>
          <c:showSerName val="0"/>
          <c:showPercent val="0"/>
          <c:showBubbleSize val="0"/>
        </c:dLbls>
        <c:gapWidth val="150"/>
        <c:axId val="93721344"/>
        <c:axId val="93722880"/>
      </c:barChart>
      <c:catAx>
        <c:axId val="937213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93722880"/>
        <c:crosses val="autoZero"/>
        <c:auto val="1"/>
        <c:lblAlgn val="ctr"/>
        <c:lblOffset val="100"/>
        <c:noMultiLvlLbl val="0"/>
      </c:catAx>
      <c:valAx>
        <c:axId val="93722880"/>
        <c:scaling>
          <c:orientation val="minMax"/>
          <c:max val="3"/>
          <c:min val="0"/>
        </c:scaling>
        <c:delete val="0"/>
        <c:axPos val="l"/>
        <c:majorGridlines/>
        <c:numFmt formatCode="0.00" sourceLinked="1"/>
        <c:majorTickMark val="out"/>
        <c:minorTickMark val="none"/>
        <c:tickLblPos val="nextTo"/>
        <c:crossAx val="93721344"/>
        <c:crosses val="autoZero"/>
        <c:crossBetween val="between"/>
        <c:majorUnit val="0.75000000000000377"/>
        <c:minorUnit val="0.25"/>
      </c:valAx>
    </c:plotArea>
    <c:plotVisOnly val="1"/>
    <c:dispBlanksAs val="gap"/>
    <c:showDLblsOverMax val="0"/>
  </c:chart>
  <c:spPr>
    <a:noFill/>
  </c:spPr>
  <c:printSettings>
    <c:headerFooter/>
    <c:pageMargins b="0.75000000000000455" l="0.70000000000000062" r="0.70000000000000062" t="0.750000000000004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fr-FR" sz="1200">
                <a:latin typeface="Arial Narrow" pitchFamily="34" charset="0"/>
              </a:rPr>
              <a:t>Graphe</a:t>
            </a:r>
            <a:r>
              <a:rPr lang="fr-FR" sz="1200" baseline="0">
                <a:latin typeface="Arial Narrow" pitchFamily="34" charset="0"/>
              </a:rPr>
              <a:t> 3.2.4.: </a:t>
            </a:r>
            <a:r>
              <a:rPr lang="fr-FR" sz="1200" b="1" i="0" u="none" strike="noStrike" baseline="0"/>
              <a:t>Répartition des CVPC suivant performance </a:t>
            </a:r>
            <a:r>
              <a:rPr lang="fr-FR" sz="1200" b="1" i="0" u="none" strike="noStrike" baseline="0">
                <a:latin typeface="Arial Narrow" pitchFamily="34" charset="0"/>
              </a:rPr>
              <a:t>g</a:t>
            </a:r>
            <a:r>
              <a:rPr lang="fr-FR" sz="1200" b="1">
                <a:latin typeface="Arial Narrow" pitchFamily="34" charset="0"/>
              </a:rPr>
              <a:t>estion des intrants selon différents critères</a:t>
            </a:r>
          </a:p>
        </c:rich>
      </c:tx>
      <c:layout>
        <c:manualLayout>
          <c:xMode val="edge"/>
          <c:yMode val="edge"/>
          <c:x val="9.9302357823838103E-2"/>
          <c:y val="1.6835202776248352E-3"/>
        </c:manualLayout>
      </c:layout>
      <c:overlay val="0"/>
    </c:title>
    <c:autoTitleDeleted val="0"/>
    <c:plotArea>
      <c:layout/>
      <c:barChart>
        <c:barDir val="col"/>
        <c:grouping val="stacked"/>
        <c:varyColors val="0"/>
        <c:ser>
          <c:idx val="0"/>
          <c:order val="0"/>
          <c:tx>
            <c:strRef>
              <c:f>'SYNTHE AUTO EVA'!$A$8</c:f>
              <c:strCache>
                <c:ptCount val="1"/>
                <c:pt idx="0">
                  <c:v>% de CVPC ayant une faible performance (+)</c:v>
                </c:pt>
              </c:strCache>
            </c:strRef>
          </c:tx>
          <c:spPr>
            <a:solidFill>
              <a:srgbClr val="FF0000"/>
            </a:solidFill>
          </c:spPr>
          <c:invertIfNegative val="0"/>
          <c:cat>
            <c:strRef>
              <c:f>'SYNTHE AUTO EVA'!$R$2:$U$2</c:f>
              <c:strCache>
                <c:ptCount val="4"/>
                <c:pt idx="0">
                  <c:v>D.1</c:v>
                </c:pt>
                <c:pt idx="1">
                  <c:v>D.2</c:v>
                </c:pt>
                <c:pt idx="2">
                  <c:v>D.3</c:v>
                </c:pt>
                <c:pt idx="3">
                  <c:v>D.4</c:v>
                </c:pt>
              </c:strCache>
            </c:strRef>
          </c:cat>
          <c:val>
            <c:numRef>
              <c:f>'SYNTHE AUTO EVA'!$R$8:$U$8</c:f>
              <c:numCache>
                <c:formatCode>0%</c:formatCode>
                <c:ptCount val="4"/>
                <c:pt idx="0">
                  <c:v>0</c:v>
                </c:pt>
                <c:pt idx="1">
                  <c:v>0</c:v>
                </c:pt>
                <c:pt idx="2">
                  <c:v>0</c:v>
                </c:pt>
                <c:pt idx="3">
                  <c:v>0</c:v>
                </c:pt>
              </c:numCache>
            </c:numRef>
          </c:val>
        </c:ser>
        <c:ser>
          <c:idx val="1"/>
          <c:order val="1"/>
          <c:tx>
            <c:strRef>
              <c:f>'SYNTHE AUTO EVA'!$A$9</c:f>
              <c:strCache>
                <c:ptCount val="1"/>
                <c:pt idx="0">
                  <c:v>% de CVPC ayant une performance moyenne (++)</c:v>
                </c:pt>
              </c:strCache>
            </c:strRef>
          </c:tx>
          <c:spPr>
            <a:solidFill>
              <a:srgbClr val="FFFF00"/>
            </a:solidFill>
          </c:spPr>
          <c:invertIfNegative val="0"/>
          <c:cat>
            <c:strRef>
              <c:f>'SYNTHE AUTO EVA'!$R$2:$U$2</c:f>
              <c:strCache>
                <c:ptCount val="4"/>
                <c:pt idx="0">
                  <c:v>D.1</c:v>
                </c:pt>
                <c:pt idx="1">
                  <c:v>D.2</c:v>
                </c:pt>
                <c:pt idx="2">
                  <c:v>D.3</c:v>
                </c:pt>
                <c:pt idx="3">
                  <c:v>D.4</c:v>
                </c:pt>
              </c:strCache>
            </c:strRef>
          </c:cat>
          <c:val>
            <c:numRef>
              <c:f>'SYNTHE AUTO EVA'!$R$9:$U$9</c:f>
              <c:numCache>
                <c:formatCode>0%</c:formatCode>
                <c:ptCount val="4"/>
                <c:pt idx="0">
                  <c:v>0</c:v>
                </c:pt>
                <c:pt idx="1">
                  <c:v>0.46666666666666667</c:v>
                </c:pt>
                <c:pt idx="2">
                  <c:v>0.53333333333333333</c:v>
                </c:pt>
                <c:pt idx="3">
                  <c:v>0.8</c:v>
                </c:pt>
              </c:numCache>
            </c:numRef>
          </c:val>
        </c:ser>
        <c:ser>
          <c:idx val="2"/>
          <c:order val="2"/>
          <c:tx>
            <c:strRef>
              <c:f>'SYNTHE AUTO EVA'!$A$10</c:f>
              <c:strCache>
                <c:ptCount val="1"/>
                <c:pt idx="0">
                  <c:v>% de CVPC ayant une bonne performance (+++)</c:v>
                </c:pt>
              </c:strCache>
            </c:strRef>
          </c:tx>
          <c:spPr>
            <a:solidFill>
              <a:srgbClr val="00B050"/>
            </a:solidFill>
          </c:spPr>
          <c:invertIfNegative val="0"/>
          <c:cat>
            <c:strRef>
              <c:f>'SYNTHE AUTO EVA'!$R$2:$U$2</c:f>
              <c:strCache>
                <c:ptCount val="4"/>
                <c:pt idx="0">
                  <c:v>D.1</c:v>
                </c:pt>
                <c:pt idx="1">
                  <c:v>D.2</c:v>
                </c:pt>
                <c:pt idx="2">
                  <c:v>D.3</c:v>
                </c:pt>
                <c:pt idx="3">
                  <c:v>D.4</c:v>
                </c:pt>
              </c:strCache>
            </c:strRef>
          </c:cat>
          <c:val>
            <c:numRef>
              <c:f>'SYNTHE AUTO EVA'!$R$10:$U$10</c:f>
              <c:numCache>
                <c:formatCode>0%</c:formatCode>
                <c:ptCount val="4"/>
                <c:pt idx="0">
                  <c:v>1</c:v>
                </c:pt>
                <c:pt idx="1">
                  <c:v>0.53333333333333333</c:v>
                </c:pt>
                <c:pt idx="2">
                  <c:v>0.46666666666666667</c:v>
                </c:pt>
                <c:pt idx="3">
                  <c:v>0.2</c:v>
                </c:pt>
              </c:numCache>
            </c:numRef>
          </c:val>
        </c:ser>
        <c:dLbls>
          <c:showLegendKey val="0"/>
          <c:showVal val="0"/>
          <c:showCatName val="0"/>
          <c:showSerName val="0"/>
          <c:showPercent val="0"/>
          <c:showBubbleSize val="0"/>
        </c:dLbls>
        <c:gapWidth val="150"/>
        <c:overlap val="100"/>
        <c:axId val="93777920"/>
        <c:axId val="93779456"/>
      </c:barChart>
      <c:catAx>
        <c:axId val="93777920"/>
        <c:scaling>
          <c:orientation val="minMax"/>
        </c:scaling>
        <c:delete val="0"/>
        <c:axPos val="b"/>
        <c:numFmt formatCode="General" sourceLinked="1"/>
        <c:majorTickMark val="none"/>
        <c:minorTickMark val="none"/>
        <c:tickLblPos val="nextTo"/>
        <c:crossAx val="93779456"/>
        <c:crosses val="autoZero"/>
        <c:auto val="1"/>
        <c:lblAlgn val="ctr"/>
        <c:lblOffset val="100"/>
        <c:noMultiLvlLbl val="0"/>
      </c:catAx>
      <c:valAx>
        <c:axId val="93779456"/>
        <c:scaling>
          <c:orientation val="minMax"/>
        </c:scaling>
        <c:delete val="1"/>
        <c:axPos val="l"/>
        <c:numFmt formatCode="0%" sourceLinked="1"/>
        <c:majorTickMark val="none"/>
        <c:minorTickMark val="none"/>
        <c:tickLblPos val="none"/>
        <c:crossAx val="9377792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Graphe 3.2.5: </a:t>
            </a:r>
            <a:r>
              <a:rPr lang="en-US" sz="1200" b="0">
                <a:latin typeface="Arial Narrow" pitchFamily="34" charset="0"/>
              </a:rPr>
              <a:t>Performance</a:t>
            </a:r>
            <a:r>
              <a:rPr lang="en-US" sz="1200" b="0" baseline="0">
                <a:latin typeface="Arial Narrow" pitchFamily="34" charset="0"/>
              </a:rPr>
              <a:t> moyenne CVPC commercialisation</a:t>
            </a:r>
            <a:endParaRPr lang="en-US" sz="1200" b="0">
              <a:latin typeface="Arial Narrow" pitchFamily="34" charset="0"/>
            </a:endParaRPr>
          </a:p>
        </c:rich>
      </c:tx>
      <c:layout>
        <c:manualLayout>
          <c:xMode val="edge"/>
          <c:yMode val="edge"/>
          <c:x val="0.14682684699682674"/>
          <c:y val="2.2600269566050112E-2"/>
        </c:manualLayout>
      </c:layout>
      <c:overlay val="0"/>
    </c:title>
    <c:autoTitleDeleted val="0"/>
    <c:plotArea>
      <c:layout/>
      <c:barChart>
        <c:barDir val="col"/>
        <c:grouping val="clustered"/>
        <c:varyColors val="0"/>
        <c:ser>
          <c:idx val="0"/>
          <c:order val="0"/>
          <c:tx>
            <c:strRef>
              <c:f>'SYNTHE AUTO EVA'!$B$11</c:f>
              <c:strCache>
                <c:ptCount val="1"/>
                <c:pt idx="0">
                  <c:v>Performance moyenne par critère et domaine</c:v>
                </c:pt>
              </c:strCache>
            </c:strRef>
          </c:tx>
          <c:spPr>
            <a:solidFill>
              <a:srgbClr val="00B050"/>
            </a:solidFill>
          </c:spPr>
          <c:invertIfNegative val="0"/>
          <c:dPt>
            <c:idx val="3"/>
            <c:invertIfNegative val="0"/>
            <c:bubble3D val="0"/>
            <c:spPr>
              <a:solidFill>
                <a:srgbClr val="FF0000"/>
              </a:solidFill>
            </c:spPr>
          </c:dPt>
          <c:cat>
            <c:multiLvlStrRef>
              <c:f>'SYNTHE AUTO EVA'!$W$2:$AC$3</c:f>
              <c:multiLvlStrCache>
                <c:ptCount val="7"/>
                <c:lvl>
                  <c:pt idx="0">
                    <c:v>ORGANISATION A TEMPS DE LA COMMERCIALISATION</c:v>
                  </c:pt>
                  <c:pt idx="1">
                    <c:v>REVISION DES BASCULES</c:v>
                  </c:pt>
                  <c:pt idx="2">
                    <c:v>PARTICIPATION DES MEMBRES AU NETTOYAGE DES AIRES DE MARCHE</c:v>
                  </c:pt>
                  <c:pt idx="3">
                    <c:v>EXISTENCE DES FACTEURS DE COMMERCIALISATION EN QUANTITE SUFFISANTE</c:v>
                  </c:pt>
                  <c:pt idx="4">
                    <c:v>PAIEMENT DES PRODUCTEURS</c:v>
                  </c:pt>
                  <c:pt idx="5">
                    <c:v>ANIMATION DU MARCHE</c:v>
                  </c:pt>
                  <c:pt idx="6">
                    <c:v>COMMERCIALISATION</c:v>
                  </c:pt>
                </c:lvl>
                <c:lvl>
                  <c:pt idx="0">
                    <c:v>E.1</c:v>
                  </c:pt>
                  <c:pt idx="1">
                    <c:v>E.2</c:v>
                  </c:pt>
                  <c:pt idx="2">
                    <c:v>E.3</c:v>
                  </c:pt>
                  <c:pt idx="3">
                    <c:v>E.4</c:v>
                  </c:pt>
                  <c:pt idx="4">
                    <c:v>E.5</c:v>
                  </c:pt>
                  <c:pt idx="5">
                    <c:v>E.6</c:v>
                  </c:pt>
                  <c:pt idx="6">
                    <c:v>E</c:v>
                  </c:pt>
                </c:lvl>
              </c:multiLvlStrCache>
            </c:multiLvlStrRef>
          </c:cat>
          <c:val>
            <c:numRef>
              <c:f>'SYNTHE AUTO EVA'!$W$11:$AC$11</c:f>
              <c:numCache>
                <c:formatCode>0.00</c:formatCode>
                <c:ptCount val="7"/>
                <c:pt idx="0">
                  <c:v>3</c:v>
                </c:pt>
                <c:pt idx="1">
                  <c:v>3</c:v>
                </c:pt>
                <c:pt idx="2">
                  <c:v>3</c:v>
                </c:pt>
                <c:pt idx="3">
                  <c:v>1.4</c:v>
                </c:pt>
                <c:pt idx="4">
                  <c:v>3</c:v>
                </c:pt>
                <c:pt idx="5">
                  <c:v>3</c:v>
                </c:pt>
                <c:pt idx="6">
                  <c:v>2.7333333333333343</c:v>
                </c:pt>
              </c:numCache>
            </c:numRef>
          </c:val>
        </c:ser>
        <c:dLbls>
          <c:showLegendKey val="0"/>
          <c:showVal val="0"/>
          <c:showCatName val="0"/>
          <c:showSerName val="0"/>
          <c:showPercent val="0"/>
          <c:showBubbleSize val="0"/>
        </c:dLbls>
        <c:gapWidth val="150"/>
        <c:axId val="93805184"/>
        <c:axId val="93806976"/>
      </c:barChart>
      <c:catAx>
        <c:axId val="93805184"/>
        <c:scaling>
          <c:orientation val="minMax"/>
        </c:scaling>
        <c:delete val="0"/>
        <c:axPos val="b"/>
        <c:numFmt formatCode="General" sourceLinked="1"/>
        <c:majorTickMark val="out"/>
        <c:minorTickMark val="none"/>
        <c:tickLblPos val="nextTo"/>
        <c:crossAx val="93806976"/>
        <c:crosses val="autoZero"/>
        <c:auto val="1"/>
        <c:lblAlgn val="ctr"/>
        <c:lblOffset val="100"/>
        <c:noMultiLvlLbl val="0"/>
      </c:catAx>
      <c:valAx>
        <c:axId val="93806976"/>
        <c:scaling>
          <c:orientation val="minMax"/>
          <c:max val="3"/>
          <c:min val="0"/>
        </c:scaling>
        <c:delete val="0"/>
        <c:axPos val="l"/>
        <c:majorGridlines/>
        <c:numFmt formatCode="0.00" sourceLinked="1"/>
        <c:majorTickMark val="out"/>
        <c:minorTickMark val="none"/>
        <c:tickLblPos val="nextTo"/>
        <c:crossAx val="93805184"/>
        <c:crosses val="autoZero"/>
        <c:crossBetween val="between"/>
        <c:majorUnit val="0.75000000000000222"/>
        <c:minorUnit val="0.1"/>
      </c:valAx>
    </c:plotArea>
    <c:plotVisOnly val="1"/>
    <c:dispBlanksAs val="gap"/>
    <c:showDLblsOverMax val="0"/>
  </c:chart>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703851</xdr:colOff>
      <xdr:row>146</xdr:row>
      <xdr:rowOff>6068</xdr:rowOff>
    </xdr:from>
    <xdr:to>
      <xdr:col>1</xdr:col>
      <xdr:colOff>2722509</xdr:colOff>
      <xdr:row>160</xdr:row>
      <xdr:rowOff>145625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420558</xdr:colOff>
      <xdr:row>167</xdr:row>
      <xdr:rowOff>20446</xdr:rowOff>
    </xdr:from>
    <xdr:to>
      <xdr:col>1</xdr:col>
      <xdr:colOff>4979322</xdr:colOff>
      <xdr:row>182</xdr:row>
      <xdr:rowOff>149629</xdr:rowOff>
    </xdr:to>
    <xdr:graphicFrame macro="">
      <xdr:nvGraphicFramePr>
        <xdr:cNvPr id="1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800932</xdr:colOff>
      <xdr:row>289</xdr:row>
      <xdr:rowOff>58191</xdr:rowOff>
    </xdr:from>
    <xdr:to>
      <xdr:col>1</xdr:col>
      <xdr:colOff>2948893</xdr:colOff>
      <xdr:row>302</xdr:row>
      <xdr:rowOff>157942</xdr:rowOff>
    </xdr:to>
    <xdr:graphicFrame macro="">
      <xdr:nvGraphicFramePr>
        <xdr:cNvPr id="4"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863899</xdr:colOff>
      <xdr:row>308</xdr:row>
      <xdr:rowOff>1</xdr:rowOff>
    </xdr:from>
    <xdr:to>
      <xdr:col>1</xdr:col>
      <xdr:colOff>3149898</xdr:colOff>
      <xdr:row>322</xdr:row>
      <xdr:rowOff>198703</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1088967</xdr:colOff>
      <xdr:row>413</xdr:row>
      <xdr:rowOff>83129</xdr:rowOff>
    </xdr:from>
    <xdr:to>
      <xdr:col>1</xdr:col>
      <xdr:colOff>2801389</xdr:colOff>
      <xdr:row>428</xdr:row>
      <xdr:rowOff>141318</xdr:rowOff>
    </xdr:to>
    <xdr:graphicFrame macro="">
      <xdr:nvGraphicFramePr>
        <xdr:cNvPr id="7"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1163781</xdr:colOff>
      <xdr:row>434</xdr:row>
      <xdr:rowOff>41563</xdr:rowOff>
    </xdr:from>
    <xdr:to>
      <xdr:col>1</xdr:col>
      <xdr:colOff>2851264</xdr:colOff>
      <xdr:row>449</xdr:row>
      <xdr:rowOff>66501</xdr:rowOff>
    </xdr:to>
    <xdr:graphicFrame macro="">
      <xdr:nvGraphicFramePr>
        <xdr:cNvPr id="8"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906088</xdr:colOff>
      <xdr:row>502</xdr:row>
      <xdr:rowOff>116378</xdr:rowOff>
    </xdr:from>
    <xdr:to>
      <xdr:col>1</xdr:col>
      <xdr:colOff>2685011</xdr:colOff>
      <xdr:row>516</xdr:row>
      <xdr:rowOff>27709</xdr:rowOff>
    </xdr:to>
    <xdr:graphicFrame macro="">
      <xdr:nvGraphicFramePr>
        <xdr:cNvPr id="10"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922712</xdr:colOff>
      <xdr:row>520</xdr:row>
      <xdr:rowOff>47107</xdr:rowOff>
    </xdr:from>
    <xdr:to>
      <xdr:col>1</xdr:col>
      <xdr:colOff>2867890</xdr:colOff>
      <xdr:row>533</xdr:row>
      <xdr:rowOff>96982</xdr:rowOff>
    </xdr:to>
    <xdr:graphicFrame macro="">
      <xdr:nvGraphicFramePr>
        <xdr:cNvPr id="1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1055717</xdr:colOff>
      <xdr:row>600</xdr:row>
      <xdr:rowOff>99753</xdr:rowOff>
    </xdr:from>
    <xdr:to>
      <xdr:col>1</xdr:col>
      <xdr:colOff>2834639</xdr:colOff>
      <xdr:row>613</xdr:row>
      <xdr:rowOff>99752</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1030778</xdr:colOff>
      <xdr:row>617</xdr:row>
      <xdr:rowOff>91440</xdr:rowOff>
    </xdr:from>
    <xdr:to>
      <xdr:col>1</xdr:col>
      <xdr:colOff>5095701</xdr:colOff>
      <xdr:row>632</xdr:row>
      <xdr:rowOff>124691</xdr:rowOff>
    </xdr:to>
    <xdr:graphicFrame macro="">
      <xdr:nvGraphicFramePr>
        <xdr:cNvPr id="14"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581891</xdr:colOff>
      <xdr:row>690</xdr:row>
      <xdr:rowOff>133002</xdr:rowOff>
    </xdr:from>
    <xdr:to>
      <xdr:col>1</xdr:col>
      <xdr:colOff>4414058</xdr:colOff>
      <xdr:row>702</xdr:row>
      <xdr:rowOff>116378</xdr:rowOff>
    </xdr:to>
    <xdr:graphicFrame macro="">
      <xdr:nvGraphicFramePr>
        <xdr:cNvPr id="15"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623454</xdr:colOff>
      <xdr:row>706</xdr:row>
      <xdr:rowOff>199506</xdr:rowOff>
    </xdr:from>
    <xdr:to>
      <xdr:col>1</xdr:col>
      <xdr:colOff>4630189</xdr:colOff>
      <xdr:row>719</xdr:row>
      <xdr:rowOff>149630</xdr:rowOff>
    </xdr:to>
    <xdr:graphicFrame macro="">
      <xdr:nvGraphicFramePr>
        <xdr:cNvPr id="1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2078180</xdr:colOff>
      <xdr:row>147</xdr:row>
      <xdr:rowOff>207818</xdr:rowOff>
    </xdr:from>
    <xdr:to>
      <xdr:col>1</xdr:col>
      <xdr:colOff>2460566</xdr:colOff>
      <xdr:row>149</xdr:row>
      <xdr:rowOff>124691</xdr:rowOff>
    </xdr:to>
    <xdr:sp macro="" textlink="">
      <xdr:nvSpPr>
        <xdr:cNvPr id="17" name="Flèche vers le bas 16"/>
        <xdr:cNvSpPr/>
      </xdr:nvSpPr>
      <xdr:spPr>
        <a:xfrm>
          <a:off x="5353395" y="45063294"/>
          <a:ext cx="382386" cy="3491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xdr:col>
      <xdr:colOff>2080954</xdr:colOff>
      <xdr:row>290</xdr:row>
      <xdr:rowOff>191193</xdr:rowOff>
    </xdr:from>
    <xdr:to>
      <xdr:col>1</xdr:col>
      <xdr:colOff>2388525</xdr:colOff>
      <xdr:row>292</xdr:row>
      <xdr:rowOff>157942</xdr:rowOff>
    </xdr:to>
    <xdr:sp macro="" textlink="">
      <xdr:nvSpPr>
        <xdr:cNvPr id="18" name="Flèche vers le bas 17"/>
        <xdr:cNvSpPr/>
      </xdr:nvSpPr>
      <xdr:spPr>
        <a:xfrm>
          <a:off x="5356169" y="74972488"/>
          <a:ext cx="307571" cy="3990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xdr:col>
      <xdr:colOff>2261064</xdr:colOff>
      <xdr:row>601</xdr:row>
      <xdr:rowOff>74814</xdr:rowOff>
    </xdr:from>
    <xdr:to>
      <xdr:col>1</xdr:col>
      <xdr:colOff>2535384</xdr:colOff>
      <xdr:row>602</xdr:row>
      <xdr:rowOff>66502</xdr:rowOff>
    </xdr:to>
    <xdr:sp macro="" textlink="">
      <xdr:nvSpPr>
        <xdr:cNvPr id="19" name="Flèche vers le bas 18"/>
        <xdr:cNvSpPr/>
      </xdr:nvSpPr>
      <xdr:spPr>
        <a:xfrm>
          <a:off x="5536279" y="143577425"/>
          <a:ext cx="274320" cy="2078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0</xdr:col>
      <xdr:colOff>166666</xdr:colOff>
      <xdr:row>82</xdr:row>
      <xdr:rowOff>16626</xdr:rowOff>
    </xdr:from>
    <xdr:to>
      <xdr:col>1</xdr:col>
      <xdr:colOff>5926974</xdr:colOff>
      <xdr:row>100</xdr:row>
      <xdr:rowOff>133004</xdr:rowOff>
    </xdr:to>
    <xdr:graphicFrame macro="">
      <xdr:nvGraphicFramePr>
        <xdr:cNvPr id="21" name="Graphique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0.8593</cdr:x>
      <cdr:y>0.04585</cdr:y>
    </cdr:from>
    <cdr:to>
      <cdr:x>0.91089</cdr:x>
      <cdr:y>0.14651</cdr:y>
    </cdr:to>
    <cdr:sp macro="" textlink="">
      <cdr:nvSpPr>
        <cdr:cNvPr id="4" name="Flèche vers le bas 3"/>
        <cdr:cNvSpPr/>
      </cdr:nvSpPr>
      <cdr:spPr>
        <a:xfrm xmlns:a="http://schemas.openxmlformats.org/drawingml/2006/main">
          <a:off x="4343000" y="134681"/>
          <a:ext cx="260743" cy="295655"/>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615142</xdr:colOff>
      <xdr:row>2</xdr:row>
      <xdr:rowOff>33251</xdr:rowOff>
    </xdr:from>
    <xdr:to>
      <xdr:col>6</xdr:col>
      <xdr:colOff>598516</xdr:colOff>
      <xdr:row>18</xdr:row>
      <xdr:rowOff>141316</xdr:rowOff>
    </xdr:to>
    <xdr:graphicFrame macro="">
      <xdr:nvGraphicFramePr>
        <xdr:cNvPr id="2"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656705</xdr:colOff>
      <xdr:row>21</xdr:row>
      <xdr:rowOff>0</xdr:rowOff>
    </xdr:from>
    <xdr:to>
      <xdr:col>6</xdr:col>
      <xdr:colOff>640080</xdr:colOff>
      <xdr:row>37</xdr:row>
      <xdr:rowOff>108065</xdr:rowOff>
    </xdr:to>
    <xdr:graphicFrame macro="">
      <xdr:nvGraphicFramePr>
        <xdr:cNvPr id="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482138</xdr:colOff>
      <xdr:row>41</xdr:row>
      <xdr:rowOff>91440</xdr:rowOff>
    </xdr:from>
    <xdr:to>
      <xdr:col>6</xdr:col>
      <xdr:colOff>590204</xdr:colOff>
      <xdr:row>60</xdr:row>
      <xdr:rowOff>41564</xdr:rowOff>
    </xdr:to>
    <xdr:graphicFrame macro="">
      <xdr:nvGraphicFramePr>
        <xdr:cNvPr id="4"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124691</xdr:colOff>
      <xdr:row>65</xdr:row>
      <xdr:rowOff>0</xdr:rowOff>
    </xdr:from>
    <xdr:to>
      <xdr:col>6</xdr:col>
      <xdr:colOff>739833</xdr:colOff>
      <xdr:row>81</xdr:row>
      <xdr:rowOff>83127</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83</xdr:row>
      <xdr:rowOff>191193</xdr:rowOff>
    </xdr:from>
    <xdr:to>
      <xdr:col>6</xdr:col>
      <xdr:colOff>706582</xdr:colOff>
      <xdr:row>106</xdr:row>
      <xdr:rowOff>24938</xdr:rowOff>
    </xdr:to>
    <xdr:graphicFrame macro="">
      <xdr:nvGraphicFramePr>
        <xdr:cNvPr id="6"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107</xdr:row>
      <xdr:rowOff>41564</xdr:rowOff>
    </xdr:from>
    <xdr:to>
      <xdr:col>6</xdr:col>
      <xdr:colOff>856211</xdr:colOff>
      <xdr:row>128</xdr:row>
      <xdr:rowOff>58189</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134</xdr:row>
      <xdr:rowOff>0</xdr:rowOff>
    </xdr:from>
    <xdr:to>
      <xdr:col>6</xdr:col>
      <xdr:colOff>631767</xdr:colOff>
      <xdr:row>153</xdr:row>
      <xdr:rowOff>166255</xdr:rowOff>
    </xdr:to>
    <xdr:graphicFrame macro="">
      <xdr:nvGraphicFramePr>
        <xdr:cNvPr id="8"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156</xdr:row>
      <xdr:rowOff>0</xdr:rowOff>
    </xdr:from>
    <xdr:to>
      <xdr:col>6</xdr:col>
      <xdr:colOff>615142</xdr:colOff>
      <xdr:row>175</xdr:row>
      <xdr:rowOff>91440</xdr:rowOff>
    </xdr:to>
    <xdr:graphicFrame macro="">
      <xdr:nvGraphicFramePr>
        <xdr:cNvPr id="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179</xdr:row>
      <xdr:rowOff>0</xdr:rowOff>
    </xdr:from>
    <xdr:to>
      <xdr:col>6</xdr:col>
      <xdr:colOff>631767</xdr:colOff>
      <xdr:row>198</xdr:row>
      <xdr:rowOff>166255</xdr:rowOff>
    </xdr:to>
    <xdr:graphicFrame macro="">
      <xdr:nvGraphicFramePr>
        <xdr:cNvPr id="10"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201</xdr:row>
      <xdr:rowOff>0</xdr:rowOff>
    </xdr:from>
    <xdr:to>
      <xdr:col>6</xdr:col>
      <xdr:colOff>615142</xdr:colOff>
      <xdr:row>217</xdr:row>
      <xdr:rowOff>83127</xdr:rowOff>
    </xdr:to>
    <xdr:graphicFrame macro="">
      <xdr:nvGraphicFramePr>
        <xdr:cNvPr id="1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229</xdr:row>
      <xdr:rowOff>0</xdr:rowOff>
    </xdr:from>
    <xdr:to>
      <xdr:col>6</xdr:col>
      <xdr:colOff>631767</xdr:colOff>
      <xdr:row>248</xdr:row>
      <xdr:rowOff>166255</xdr:rowOff>
    </xdr:to>
    <xdr:graphicFrame macro="">
      <xdr:nvGraphicFramePr>
        <xdr:cNvPr id="12"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251</xdr:row>
      <xdr:rowOff>0</xdr:rowOff>
    </xdr:from>
    <xdr:to>
      <xdr:col>6</xdr:col>
      <xdr:colOff>615142</xdr:colOff>
      <xdr:row>267</xdr:row>
      <xdr:rowOff>83127</xdr:rowOff>
    </xdr:to>
    <xdr:graphicFrame macro="">
      <xdr:nvGraphicFramePr>
        <xdr:cNvPr id="1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271</xdr:row>
      <xdr:rowOff>0</xdr:rowOff>
    </xdr:from>
    <xdr:to>
      <xdr:col>6</xdr:col>
      <xdr:colOff>631767</xdr:colOff>
      <xdr:row>290</xdr:row>
      <xdr:rowOff>166255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293</xdr:row>
      <xdr:rowOff>0</xdr:rowOff>
    </xdr:from>
    <xdr:to>
      <xdr:col>6</xdr:col>
      <xdr:colOff>615142</xdr:colOff>
      <xdr:row>309</xdr:row>
      <xdr:rowOff>83127</xdr:rowOff>
    </xdr:to>
    <xdr:graphicFrame macro="">
      <xdr:nvGraphicFramePr>
        <xdr:cNvPr id="15"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0.89714</cdr:x>
      <cdr:y>0.16411</cdr:y>
    </cdr:from>
    <cdr:to>
      <cdr:x>0.91571</cdr:x>
      <cdr:y>0.26477</cdr:y>
    </cdr:to>
    <cdr:sp macro="" textlink="">
      <cdr:nvSpPr>
        <cdr:cNvPr id="4" name="Flèche vers le bas 3"/>
        <cdr:cNvSpPr/>
      </cdr:nvSpPr>
      <cdr:spPr>
        <a:xfrm xmlns:a="http://schemas.openxmlformats.org/drawingml/2006/main">
          <a:off x="5220394" y="623454"/>
          <a:ext cx="108065" cy="382386"/>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847898</xdr:colOff>
      <xdr:row>16</xdr:row>
      <xdr:rowOff>108065</xdr:rowOff>
    </xdr:to>
    <xdr:graphicFrame macro="">
      <xdr:nvGraphicFramePr>
        <xdr:cNvPr id="2"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5</xdr:col>
      <xdr:colOff>847898</xdr:colOff>
      <xdr:row>34</xdr:row>
      <xdr:rowOff>108065</xdr:rowOff>
    </xdr:to>
    <xdr:graphicFrame macro="">
      <xdr:nvGraphicFramePr>
        <xdr:cNvPr id="3"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5</xdr:col>
      <xdr:colOff>847898</xdr:colOff>
      <xdr:row>52</xdr:row>
      <xdr:rowOff>108065</xdr:rowOff>
    </xdr:to>
    <xdr:graphicFrame macro="">
      <xdr:nvGraphicFramePr>
        <xdr:cNvPr id="4"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72</xdr:row>
      <xdr:rowOff>0</xdr:rowOff>
    </xdr:from>
    <xdr:to>
      <xdr:col>5</xdr:col>
      <xdr:colOff>847898</xdr:colOff>
      <xdr:row>88</xdr:row>
      <xdr:rowOff>108065</xdr:rowOff>
    </xdr:to>
    <xdr:graphicFrame macro="">
      <xdr:nvGraphicFramePr>
        <xdr:cNvPr id="5"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90</xdr:row>
      <xdr:rowOff>0</xdr:rowOff>
    </xdr:from>
    <xdr:to>
      <xdr:col>5</xdr:col>
      <xdr:colOff>847898</xdr:colOff>
      <xdr:row>106</xdr:row>
      <xdr:rowOff>108065</xdr:rowOff>
    </xdr:to>
    <xdr:graphicFrame macro="">
      <xdr:nvGraphicFramePr>
        <xdr:cNvPr id="6"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54</xdr:row>
      <xdr:rowOff>0</xdr:rowOff>
    </xdr:from>
    <xdr:to>
      <xdr:col>5</xdr:col>
      <xdr:colOff>847898</xdr:colOff>
      <xdr:row>70</xdr:row>
      <xdr:rowOff>108065</xdr:rowOff>
    </xdr:to>
    <xdr:graphicFrame macro="">
      <xdr:nvGraphicFramePr>
        <xdr:cNvPr id="7"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66501</xdr:colOff>
      <xdr:row>2</xdr:row>
      <xdr:rowOff>24939</xdr:rowOff>
    </xdr:from>
    <xdr:to>
      <xdr:col>6</xdr:col>
      <xdr:colOff>673331</xdr:colOff>
      <xdr:row>19</xdr:row>
      <xdr:rowOff>99753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esktop/ETUDE%20DE%20REFERENCE/BORGOU/KALALE%20RAP%20ANALYSE%20DONNES%20ETUDE%20CVPC%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és de gestion OP"/>
      <sheetName val="Cons Kouandé"/>
      <sheetName val="CODE CVPC"/>
      <sheetName val="Stat coton"/>
      <sheetName val="STAT KALALE"/>
      <sheetName val="DONNEES QUANTITATIVES"/>
      <sheetName val="SYNTHE AUTO EVA"/>
      <sheetName val="RAPPORT"/>
      <sheetName val="PLAN D'ACTION2"/>
      <sheetName val="POINT FORTS &amp; POINT FAIBLES"/>
    </sheetNames>
    <sheetDataSet>
      <sheetData sheetId="0" refreshError="1"/>
      <sheetData sheetId="1" refreshError="1"/>
      <sheetData sheetId="2" refreshError="1"/>
      <sheetData sheetId="3">
        <row r="5">
          <cell r="E5">
            <v>0.27777777777777779</v>
          </cell>
        </row>
      </sheetData>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21" workbookViewId="0">
      <selection activeCell="D26" sqref="D26"/>
    </sheetView>
  </sheetViews>
  <sheetFormatPr baseColWidth="10" defaultColWidth="11.5703125" defaultRowHeight="13.5" x14ac:dyDescent="0.25"/>
  <cols>
    <col min="1" max="1" width="6.140625" style="304" bestFit="1" customWidth="1"/>
    <col min="2" max="2" width="13" style="304" customWidth="1"/>
    <col min="3" max="3" width="3.28515625" style="304" customWidth="1"/>
    <col min="4" max="4" width="23.42578125" style="304" customWidth="1"/>
    <col min="5" max="5" width="28.140625" style="304" customWidth="1"/>
    <col min="6" max="8" width="28.42578125" style="304" customWidth="1"/>
    <col min="9" max="16384" width="11.5703125" style="304"/>
  </cols>
  <sheetData>
    <row r="1" spans="1:8" ht="27" x14ac:dyDescent="0.25">
      <c r="A1" s="304" t="s">
        <v>478</v>
      </c>
      <c r="B1" s="315" t="s">
        <v>477</v>
      </c>
      <c r="C1" s="314"/>
      <c r="D1" s="314"/>
    </row>
    <row r="2" spans="1:8" x14ac:dyDescent="0.25">
      <c r="B2" s="315"/>
      <c r="C2" s="314"/>
      <c r="D2" s="314"/>
    </row>
    <row r="3" spans="1:8" x14ac:dyDescent="0.25">
      <c r="A3" s="663" t="s">
        <v>476</v>
      </c>
      <c r="B3" s="663" t="s">
        <v>475</v>
      </c>
      <c r="C3" s="663" t="s">
        <v>282</v>
      </c>
      <c r="D3" s="663" t="s">
        <v>474</v>
      </c>
      <c r="E3" s="663" t="s">
        <v>295</v>
      </c>
      <c r="F3" s="670" t="s">
        <v>473</v>
      </c>
      <c r="G3" s="671"/>
      <c r="H3" s="672"/>
    </row>
    <row r="4" spans="1:8" ht="18.399999999999999" customHeight="1" x14ac:dyDescent="0.25">
      <c r="A4" s="665"/>
      <c r="B4" s="673"/>
      <c r="C4" s="673"/>
      <c r="D4" s="673"/>
      <c r="E4" s="673"/>
      <c r="F4" s="313" t="s">
        <v>472</v>
      </c>
      <c r="G4" s="313" t="s">
        <v>471</v>
      </c>
      <c r="H4" s="313" t="s">
        <v>470</v>
      </c>
    </row>
    <row r="5" spans="1:8" ht="40.700000000000003" customHeight="1" x14ac:dyDescent="0.25">
      <c r="A5" s="662" t="s">
        <v>469</v>
      </c>
      <c r="B5" s="663" t="s">
        <v>468</v>
      </c>
      <c r="C5" s="309" t="s">
        <v>326</v>
      </c>
      <c r="D5" s="309" t="s">
        <v>467</v>
      </c>
      <c r="E5" s="309" t="s">
        <v>466</v>
      </c>
      <c r="F5" s="309" t="s">
        <v>465</v>
      </c>
      <c r="G5" s="309" t="s">
        <v>464</v>
      </c>
      <c r="H5" s="309" t="s">
        <v>463</v>
      </c>
    </row>
    <row r="6" spans="1:8" ht="37.35" customHeight="1" x14ac:dyDescent="0.25">
      <c r="A6" s="662"/>
      <c r="B6" s="664"/>
      <c r="C6" s="309" t="s">
        <v>325</v>
      </c>
      <c r="D6" s="309" t="s">
        <v>462</v>
      </c>
      <c r="E6" s="309" t="s">
        <v>294</v>
      </c>
      <c r="F6" s="309" t="s">
        <v>461</v>
      </c>
      <c r="G6" s="309" t="s">
        <v>460</v>
      </c>
      <c r="H6" s="309" t="s">
        <v>459</v>
      </c>
    </row>
    <row r="7" spans="1:8" ht="34.15" customHeight="1" x14ac:dyDescent="0.25">
      <c r="A7" s="662"/>
      <c r="B7" s="664"/>
      <c r="C7" s="309" t="s">
        <v>324</v>
      </c>
      <c r="D7" s="309" t="s">
        <v>458</v>
      </c>
      <c r="E7" s="309" t="s">
        <v>457</v>
      </c>
      <c r="F7" s="309" t="s">
        <v>456</v>
      </c>
      <c r="G7" s="309" t="s">
        <v>455</v>
      </c>
      <c r="H7" s="309" t="s">
        <v>454</v>
      </c>
    </row>
    <row r="8" spans="1:8" ht="34.15" customHeight="1" x14ac:dyDescent="0.25">
      <c r="A8" s="662"/>
      <c r="B8" s="664"/>
      <c r="C8" s="309" t="s">
        <v>323</v>
      </c>
      <c r="D8" s="309" t="s">
        <v>453</v>
      </c>
      <c r="E8" s="312" t="s">
        <v>452</v>
      </c>
      <c r="F8" s="309" t="s">
        <v>451</v>
      </c>
      <c r="G8" s="309" t="s">
        <v>450</v>
      </c>
      <c r="H8" s="309" t="s">
        <v>449</v>
      </c>
    </row>
    <row r="9" spans="1:8" ht="45.4" customHeight="1" x14ac:dyDescent="0.25">
      <c r="A9" s="662"/>
      <c r="B9" s="664"/>
      <c r="C9" s="309" t="s">
        <v>448</v>
      </c>
      <c r="D9" s="309" t="s">
        <v>447</v>
      </c>
      <c r="E9" s="309" t="s">
        <v>446</v>
      </c>
      <c r="F9" s="309" t="s">
        <v>445</v>
      </c>
      <c r="G9" s="309" t="s">
        <v>444</v>
      </c>
      <c r="H9" s="309" t="s">
        <v>443</v>
      </c>
    </row>
    <row r="10" spans="1:8" ht="45.4" customHeight="1" x14ac:dyDescent="0.25">
      <c r="A10" s="662"/>
      <c r="B10" s="665"/>
      <c r="C10" s="311" t="s">
        <v>442</v>
      </c>
      <c r="D10" s="311" t="s">
        <v>441</v>
      </c>
      <c r="E10" s="311" t="s">
        <v>440</v>
      </c>
      <c r="F10" s="311" t="s">
        <v>439</v>
      </c>
      <c r="G10" s="311" t="s">
        <v>438</v>
      </c>
      <c r="H10" s="311" t="s">
        <v>437</v>
      </c>
    </row>
    <row r="11" spans="1:8" ht="42.6" customHeight="1" x14ac:dyDescent="0.25">
      <c r="A11" s="662"/>
      <c r="B11" s="666" t="s">
        <v>436</v>
      </c>
      <c r="C11" s="310" t="s">
        <v>435</v>
      </c>
      <c r="D11" s="310" t="s">
        <v>434</v>
      </c>
      <c r="E11" s="310" t="s">
        <v>433</v>
      </c>
      <c r="F11" s="310" t="s">
        <v>432</v>
      </c>
      <c r="G11" s="310" t="s">
        <v>431</v>
      </c>
      <c r="H11" s="310" t="s">
        <v>430</v>
      </c>
    </row>
    <row r="12" spans="1:8" ht="55.7" customHeight="1" x14ac:dyDescent="0.25">
      <c r="A12" s="662"/>
      <c r="B12" s="666"/>
      <c r="C12" s="310" t="s">
        <v>320</v>
      </c>
      <c r="D12" s="310" t="s">
        <v>429</v>
      </c>
      <c r="E12" s="310" t="s">
        <v>428</v>
      </c>
      <c r="F12" s="310" t="s">
        <v>427</v>
      </c>
      <c r="G12" s="310" t="s">
        <v>426</v>
      </c>
      <c r="H12" s="310" t="s">
        <v>425</v>
      </c>
    </row>
    <row r="13" spans="1:8" ht="27" x14ac:dyDescent="0.25">
      <c r="A13" s="662"/>
      <c r="B13" s="666"/>
      <c r="C13" s="310" t="s">
        <v>319</v>
      </c>
      <c r="D13" s="310" t="s">
        <v>424</v>
      </c>
      <c r="E13" s="310" t="s">
        <v>423</v>
      </c>
      <c r="F13" s="310" t="s">
        <v>422</v>
      </c>
      <c r="G13" s="310" t="s">
        <v>421</v>
      </c>
      <c r="H13" s="310" t="s">
        <v>420</v>
      </c>
    </row>
    <row r="14" spans="1:8" ht="67.5" x14ac:dyDescent="0.25">
      <c r="A14" s="662"/>
      <c r="B14" s="666"/>
      <c r="C14" s="310" t="s">
        <v>318</v>
      </c>
      <c r="D14" s="310" t="s">
        <v>419</v>
      </c>
      <c r="E14" s="310" t="s">
        <v>418</v>
      </c>
      <c r="F14" s="310" t="s">
        <v>417</v>
      </c>
      <c r="G14" s="310" t="s">
        <v>416</v>
      </c>
      <c r="H14" s="310" t="s">
        <v>415</v>
      </c>
    </row>
    <row r="15" spans="1:8" ht="47.85" customHeight="1" x14ac:dyDescent="0.25">
      <c r="A15" s="662"/>
      <c r="B15" s="666"/>
      <c r="C15" s="310" t="s">
        <v>317</v>
      </c>
      <c r="D15" s="310" t="s">
        <v>414</v>
      </c>
      <c r="E15" s="310" t="s">
        <v>413</v>
      </c>
      <c r="F15" s="310" t="s">
        <v>412</v>
      </c>
      <c r="G15" s="310" t="s">
        <v>411</v>
      </c>
      <c r="H15" s="310" t="s">
        <v>410</v>
      </c>
    </row>
    <row r="16" spans="1:8" ht="35.25" customHeight="1" x14ac:dyDescent="0.25">
      <c r="A16" s="659" t="s">
        <v>409</v>
      </c>
      <c r="B16" s="666" t="s">
        <v>408</v>
      </c>
      <c r="C16" s="309" t="s">
        <v>315</v>
      </c>
      <c r="D16" s="309" t="s">
        <v>407</v>
      </c>
      <c r="E16" s="309" t="s">
        <v>406</v>
      </c>
      <c r="F16" s="309" t="s">
        <v>405</v>
      </c>
      <c r="G16" s="309" t="s">
        <v>404</v>
      </c>
      <c r="H16" s="309" t="s">
        <v>403</v>
      </c>
    </row>
    <row r="17" spans="1:8" ht="35.25" customHeight="1" x14ac:dyDescent="0.25">
      <c r="A17" s="660"/>
      <c r="B17" s="666"/>
      <c r="C17" s="309" t="s">
        <v>314</v>
      </c>
      <c r="D17" s="309" t="s">
        <v>402</v>
      </c>
      <c r="E17" s="309" t="s">
        <v>401</v>
      </c>
      <c r="F17" s="309" t="s">
        <v>400</v>
      </c>
      <c r="G17" s="309" t="s">
        <v>399</v>
      </c>
      <c r="H17" s="309" t="s">
        <v>398</v>
      </c>
    </row>
    <row r="18" spans="1:8" ht="34.15" customHeight="1" x14ac:dyDescent="0.25">
      <c r="A18" s="660"/>
      <c r="B18" s="666"/>
      <c r="C18" s="309" t="s">
        <v>313</v>
      </c>
      <c r="D18" s="309" t="s">
        <v>397</v>
      </c>
      <c r="E18" s="309" t="s">
        <v>291</v>
      </c>
      <c r="F18" s="309" t="s">
        <v>396</v>
      </c>
      <c r="G18" s="309" t="s">
        <v>395</v>
      </c>
      <c r="H18" s="309" t="s">
        <v>394</v>
      </c>
    </row>
    <row r="19" spans="1:8" ht="49.7" customHeight="1" x14ac:dyDescent="0.25">
      <c r="A19" s="660"/>
      <c r="B19" s="663" t="s">
        <v>393</v>
      </c>
      <c r="C19" s="310" t="s">
        <v>310</v>
      </c>
      <c r="D19" s="310" t="s">
        <v>392</v>
      </c>
      <c r="E19" s="310" t="s">
        <v>391</v>
      </c>
      <c r="F19" s="310" t="s">
        <v>390</v>
      </c>
      <c r="G19" s="310" t="s">
        <v>389</v>
      </c>
      <c r="H19" s="310" t="s">
        <v>388</v>
      </c>
    </row>
    <row r="20" spans="1:8" ht="31.5" customHeight="1" x14ac:dyDescent="0.25">
      <c r="A20" s="660"/>
      <c r="B20" s="664"/>
      <c r="C20" s="310" t="s">
        <v>309</v>
      </c>
      <c r="D20" s="305" t="s">
        <v>387</v>
      </c>
      <c r="E20" s="305" t="s">
        <v>386</v>
      </c>
      <c r="F20" s="305" t="s">
        <v>385</v>
      </c>
      <c r="G20" s="305" t="s">
        <v>384</v>
      </c>
      <c r="H20" s="305" t="s">
        <v>383</v>
      </c>
    </row>
    <row r="21" spans="1:8" ht="33.4" customHeight="1" x14ac:dyDescent="0.25">
      <c r="A21" s="660"/>
      <c r="B21" s="664"/>
      <c r="C21" s="310" t="s">
        <v>308</v>
      </c>
      <c r="D21" s="305" t="s">
        <v>382</v>
      </c>
      <c r="E21" s="305" t="s">
        <v>381</v>
      </c>
      <c r="F21" s="305" t="s">
        <v>380</v>
      </c>
      <c r="G21" s="305" t="s">
        <v>379</v>
      </c>
      <c r="H21" s="305" t="s">
        <v>378</v>
      </c>
    </row>
    <row r="22" spans="1:8" ht="47.85" customHeight="1" x14ac:dyDescent="0.25">
      <c r="A22" s="660"/>
      <c r="B22" s="665"/>
      <c r="C22" s="310" t="s">
        <v>307</v>
      </c>
      <c r="D22" s="305" t="s">
        <v>377</v>
      </c>
      <c r="E22" s="305" t="s">
        <v>289</v>
      </c>
      <c r="F22" s="305" t="s">
        <v>376</v>
      </c>
      <c r="G22" s="305" t="s">
        <v>375</v>
      </c>
      <c r="H22" s="305" t="s">
        <v>374</v>
      </c>
    </row>
    <row r="23" spans="1:8" ht="40.700000000000003" customHeight="1" x14ac:dyDescent="0.25">
      <c r="A23" s="660"/>
      <c r="B23" s="667" t="s">
        <v>373</v>
      </c>
      <c r="C23" s="309" t="s">
        <v>303</v>
      </c>
      <c r="D23" s="309" t="s">
        <v>372</v>
      </c>
      <c r="E23" s="309" t="s">
        <v>371</v>
      </c>
      <c r="F23" s="309" t="s">
        <v>370</v>
      </c>
      <c r="G23" s="309" t="s">
        <v>369</v>
      </c>
      <c r="H23" s="309" t="s">
        <v>368</v>
      </c>
    </row>
    <row r="24" spans="1:8" ht="42" customHeight="1" x14ac:dyDescent="0.25">
      <c r="A24" s="660"/>
      <c r="B24" s="668"/>
      <c r="C24" s="309" t="s">
        <v>302</v>
      </c>
      <c r="D24" s="309" t="s">
        <v>367</v>
      </c>
      <c r="E24" s="309" t="s">
        <v>366</v>
      </c>
      <c r="F24" s="309" t="s">
        <v>365</v>
      </c>
      <c r="G24" s="309" t="s">
        <v>364</v>
      </c>
      <c r="H24" s="309" t="s">
        <v>363</v>
      </c>
    </row>
    <row r="25" spans="1:8" ht="42" customHeight="1" x14ac:dyDescent="0.25">
      <c r="A25" s="661"/>
      <c r="B25" s="669"/>
      <c r="C25" s="309" t="s">
        <v>301</v>
      </c>
      <c r="D25" s="309" t="s">
        <v>362</v>
      </c>
      <c r="E25" s="309" t="s">
        <v>361</v>
      </c>
      <c r="F25" s="309" t="s">
        <v>360</v>
      </c>
      <c r="G25" s="309" t="s">
        <v>359</v>
      </c>
      <c r="H25" s="309" t="s">
        <v>358</v>
      </c>
    </row>
    <row r="26" spans="1:8" ht="43.15" customHeight="1" x14ac:dyDescent="0.25">
      <c r="A26" s="659" t="s">
        <v>357</v>
      </c>
      <c r="B26" s="308" t="s">
        <v>356</v>
      </c>
      <c r="C26" s="305" t="s">
        <v>298</v>
      </c>
      <c r="D26" s="305" t="s">
        <v>355</v>
      </c>
      <c r="E26" s="305" t="s">
        <v>354</v>
      </c>
      <c r="F26" s="305" t="s">
        <v>353</v>
      </c>
      <c r="G26" s="305" t="s">
        <v>352</v>
      </c>
      <c r="H26" s="305" t="s">
        <v>351</v>
      </c>
    </row>
    <row r="27" spans="1:8" ht="42.6" customHeight="1" x14ac:dyDescent="0.25">
      <c r="A27" s="660"/>
      <c r="B27" s="308" t="s">
        <v>350</v>
      </c>
      <c r="C27" s="305" t="s">
        <v>349</v>
      </c>
      <c r="D27" s="305" t="s">
        <v>348</v>
      </c>
      <c r="E27" s="305" t="s">
        <v>347</v>
      </c>
      <c r="F27" s="305" t="s">
        <v>346</v>
      </c>
      <c r="G27" s="305" t="s">
        <v>345</v>
      </c>
      <c r="H27" s="305" t="s">
        <v>344</v>
      </c>
    </row>
    <row r="28" spans="1:8" ht="32.85" customHeight="1" x14ac:dyDescent="0.25">
      <c r="A28" s="661"/>
      <c r="B28" s="307" t="s">
        <v>343</v>
      </c>
      <c r="C28" s="305" t="s">
        <v>342</v>
      </c>
      <c r="D28" s="305" t="s">
        <v>341</v>
      </c>
      <c r="E28" s="306" t="s">
        <v>340</v>
      </c>
      <c r="F28" s="305" t="s">
        <v>339</v>
      </c>
      <c r="G28" s="305" t="s">
        <v>338</v>
      </c>
      <c r="H28" s="305" t="s">
        <v>337</v>
      </c>
    </row>
  </sheetData>
  <mergeCells count="14">
    <mergeCell ref="F3:H3"/>
    <mergeCell ref="A3:A4"/>
    <mergeCell ref="B3:B4"/>
    <mergeCell ref="C3:C4"/>
    <mergeCell ref="D3:D4"/>
    <mergeCell ref="E3:E4"/>
    <mergeCell ref="A26:A28"/>
    <mergeCell ref="A5:A15"/>
    <mergeCell ref="B5:B10"/>
    <mergeCell ref="B11:B15"/>
    <mergeCell ref="A16:A25"/>
    <mergeCell ref="B16:B18"/>
    <mergeCell ref="B19:B22"/>
    <mergeCell ref="B23:B25"/>
  </mergeCells>
  <pageMargins left="0.56999999999999995" right="0.19685039370078741" top="0.44" bottom="0.23622047244094491" header="0.15" footer="0.19685039370078741"/>
  <pageSetup paperSize="9" scale="84" orientation="landscape" r:id="rId1"/>
  <rowBreaks count="1" manualBreakCount="1">
    <brk id="1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78" workbookViewId="0">
      <selection activeCell="I289" sqref="I289"/>
    </sheetView>
  </sheetViews>
  <sheetFormatPr baseColWidth="10" defaultRowHeight="1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4" workbookViewId="0">
      <selection activeCell="I121" sqref="I121"/>
    </sheetView>
  </sheetViews>
  <sheetFormatPr baseColWidth="10"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baseColWidth="10" defaultRowHeight="15" x14ac:dyDescent="0.25"/>
  <cols>
    <col min="4" max="4" width="15.85546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L46"/>
  <sheetViews>
    <sheetView view="pageBreakPreview" topLeftCell="FE2" zoomScale="75" zoomScaleNormal="85" zoomScaleSheetLayoutView="75" workbookViewId="0">
      <pane ySplit="10" topLeftCell="A14" activePane="bottomLeft" state="frozen"/>
      <selection activeCell="AJ2" sqref="AJ2"/>
      <selection pane="bottomLeft" activeCell="FN15" sqref="FN15"/>
    </sheetView>
  </sheetViews>
  <sheetFormatPr baseColWidth="10" defaultRowHeight="15.75" x14ac:dyDescent="0.25"/>
  <cols>
    <col min="1" max="1" width="9.85546875" style="245" customWidth="1"/>
    <col min="2" max="2" width="23.28515625" style="8" bestFit="1" customWidth="1"/>
    <col min="3" max="4" width="11" style="8" customWidth="1"/>
    <col min="5" max="6" width="11" style="267" customWidth="1"/>
    <col min="7" max="22" width="11" style="8" customWidth="1"/>
    <col min="23" max="23" width="10.140625" style="245" customWidth="1"/>
    <col min="24" max="24" width="23.28515625" style="245" bestFit="1" customWidth="1"/>
    <col min="25" max="25" width="11.5703125" style="245" customWidth="1"/>
    <col min="26" max="33" width="11.5703125" style="8" customWidth="1"/>
    <col min="34" max="34" width="5.7109375" style="245" customWidth="1"/>
    <col min="35" max="35" width="11.5703125" style="245" customWidth="1"/>
    <col min="36" max="36" width="23.28515625" style="245" bestFit="1" customWidth="1"/>
    <col min="37" max="49" width="11.85546875" style="8" customWidth="1"/>
    <col min="50" max="50" width="11.85546875" style="245" customWidth="1"/>
    <col min="51" max="51" width="9.7109375" style="245" customWidth="1"/>
    <col min="52" max="52" width="23.28515625" style="245" bestFit="1" customWidth="1"/>
    <col min="53" max="68" width="11.7109375" style="8" customWidth="1"/>
    <col min="69" max="69" width="4.42578125" style="5" customWidth="1"/>
    <col min="70" max="70" width="8.7109375" style="5" customWidth="1"/>
    <col min="71" max="71" width="23.28515625" style="245" bestFit="1" customWidth="1"/>
    <col min="72" max="72" width="11.28515625" style="8" customWidth="1"/>
    <col min="73" max="73" width="11.28515625" style="267" customWidth="1"/>
    <col min="74" max="84" width="11.28515625" style="8" customWidth="1"/>
    <col min="85" max="85" width="5.28515625" style="245" customWidth="1"/>
    <col min="86" max="86" width="9.5703125" style="245" customWidth="1"/>
    <col min="87" max="87" width="23.28515625" style="8" bestFit="1" customWidth="1"/>
    <col min="88" max="93" width="15.42578125" style="8" customWidth="1"/>
    <col min="94" max="94" width="15.42578125" style="245" customWidth="1"/>
    <col min="95" max="95" width="6.7109375" style="5" customWidth="1"/>
    <col min="96" max="96" width="9" style="245" customWidth="1"/>
    <col min="97" max="97" width="23.28515625" style="245" bestFit="1" customWidth="1"/>
    <col min="98" max="107" width="11.140625" style="245" customWidth="1"/>
    <col min="108" max="108" width="6.7109375" style="245" customWidth="1"/>
    <col min="109" max="109" width="10.7109375" style="5" customWidth="1"/>
    <col min="110" max="110" width="23.28515625" style="5" bestFit="1" customWidth="1"/>
    <col min="111" max="122" width="13.7109375" style="8" customWidth="1"/>
    <col min="123" max="123" width="5" style="245" customWidth="1"/>
    <col min="124" max="124" width="9.28515625" style="245" customWidth="1"/>
    <col min="125" max="125" width="23.28515625" style="8" bestFit="1" customWidth="1"/>
    <col min="126" max="128" width="11.28515625" style="8" bestFit="1" customWidth="1"/>
    <col min="129" max="129" width="3" style="245" customWidth="1"/>
    <col min="130" max="130" width="8.42578125" style="8" customWidth="1"/>
    <col min="131" max="131" width="23.28515625" style="8" bestFit="1" customWidth="1"/>
    <col min="132" max="145" width="11.85546875" style="8" customWidth="1"/>
    <col min="146" max="146" width="15.5703125" style="8" bestFit="1" customWidth="1"/>
    <col min="147" max="147" width="14.28515625" style="267" customWidth="1"/>
    <col min="148" max="148" width="11.28515625" style="290" customWidth="1"/>
    <col min="149" max="149" width="4.28515625" style="245" customWidth="1"/>
    <col min="150" max="150" width="10.7109375" style="245" customWidth="1"/>
    <col min="151" max="151" width="23.28515625" style="8" bestFit="1" customWidth="1"/>
    <col min="152" max="160" width="11.28515625" style="8" customWidth="1"/>
    <col min="161" max="161" width="11.28515625" style="245" customWidth="1"/>
    <col min="162" max="162" width="23.28515625" style="8" bestFit="1" customWidth="1"/>
    <col min="163" max="167" width="11.28515625" style="8" customWidth="1"/>
    <col min="168" max="262" width="11.5703125" style="8"/>
    <col min="263" max="263" width="9.85546875" style="8" customWidth="1"/>
    <col min="264" max="264" width="23.28515625" style="8" bestFit="1" customWidth="1"/>
    <col min="265" max="282" width="11" style="8" customWidth="1"/>
    <col min="283" max="283" width="10.140625" style="8" customWidth="1"/>
    <col min="284" max="284" width="23.28515625" style="8" bestFit="1" customWidth="1"/>
    <col min="285" max="293" width="11.5703125" style="8" customWidth="1"/>
    <col min="294" max="294" width="5.7109375" style="8" customWidth="1"/>
    <col min="295" max="295" width="11.5703125" style="8" customWidth="1"/>
    <col min="296" max="296" width="23.28515625" style="8" bestFit="1" customWidth="1"/>
    <col min="297" max="310" width="11.85546875" style="8" customWidth="1"/>
    <col min="311" max="311" width="9.7109375" style="8" customWidth="1"/>
    <col min="312" max="312" width="23.28515625" style="8" bestFit="1" customWidth="1"/>
    <col min="313" max="328" width="11.7109375" style="8" customWidth="1"/>
    <col min="329" max="329" width="4.42578125" style="8" customWidth="1"/>
    <col min="330" max="330" width="8.7109375" style="8" customWidth="1"/>
    <col min="331" max="331" width="23.28515625" style="8" bestFit="1" customWidth="1"/>
    <col min="332" max="343" width="11.28515625" style="8" customWidth="1"/>
    <col min="344" max="344" width="5.28515625" style="8" customWidth="1"/>
    <col min="345" max="345" width="9.5703125" style="8" customWidth="1"/>
    <col min="346" max="346" width="23.28515625" style="8" bestFit="1" customWidth="1"/>
    <col min="347" max="353" width="15.42578125" style="8" customWidth="1"/>
    <col min="354" max="354" width="6.7109375" style="8" customWidth="1"/>
    <col min="355" max="355" width="9" style="8" customWidth="1"/>
    <col min="356" max="356" width="23.28515625" style="8" bestFit="1" customWidth="1"/>
    <col min="357" max="366" width="11.140625" style="8" customWidth="1"/>
    <col min="367" max="367" width="6.7109375" style="8" customWidth="1"/>
    <col min="368" max="368" width="10.7109375" style="8" customWidth="1"/>
    <col min="369" max="369" width="23.28515625" style="8" bestFit="1" customWidth="1"/>
    <col min="370" max="380" width="13.7109375" style="8" customWidth="1"/>
    <col min="381" max="381" width="5" style="8" customWidth="1"/>
    <col min="382" max="382" width="9.28515625" style="8" customWidth="1"/>
    <col min="383" max="383" width="23.28515625" style="8" bestFit="1" customWidth="1"/>
    <col min="384" max="386" width="11.28515625" style="8" bestFit="1" customWidth="1"/>
    <col min="387" max="387" width="3" style="8" customWidth="1"/>
    <col min="388" max="388" width="8.42578125" style="8" customWidth="1"/>
    <col min="389" max="389" width="23.28515625" style="8" bestFit="1" customWidth="1"/>
    <col min="390" max="403" width="11.85546875" style="8" customWidth="1"/>
    <col min="404" max="404" width="15.5703125" style="8" bestFit="1" customWidth="1"/>
    <col min="405" max="405" width="4.28515625" style="8" customWidth="1"/>
    <col min="406" max="406" width="10.7109375" style="8" customWidth="1"/>
    <col min="407" max="407" width="23.28515625" style="8" bestFit="1" customWidth="1"/>
    <col min="408" max="417" width="11.28515625" style="8" customWidth="1"/>
    <col min="418" max="418" width="23.28515625" style="8" bestFit="1" customWidth="1"/>
    <col min="419" max="423" width="11.28515625" style="8" customWidth="1"/>
    <col min="424" max="518" width="11.5703125" style="8"/>
    <col min="519" max="519" width="9.85546875" style="8" customWidth="1"/>
    <col min="520" max="520" width="23.28515625" style="8" bestFit="1" customWidth="1"/>
    <col min="521" max="538" width="11" style="8" customWidth="1"/>
    <col min="539" max="539" width="10.140625" style="8" customWidth="1"/>
    <col min="540" max="540" width="23.28515625" style="8" bestFit="1" customWidth="1"/>
    <col min="541" max="549" width="11.5703125" style="8" customWidth="1"/>
    <col min="550" max="550" width="5.7109375" style="8" customWidth="1"/>
    <col min="551" max="551" width="11.5703125" style="8" customWidth="1"/>
    <col min="552" max="552" width="23.28515625" style="8" bestFit="1" customWidth="1"/>
    <col min="553" max="566" width="11.85546875" style="8" customWidth="1"/>
    <col min="567" max="567" width="9.7109375" style="8" customWidth="1"/>
    <col min="568" max="568" width="23.28515625" style="8" bestFit="1" customWidth="1"/>
    <col min="569" max="584" width="11.7109375" style="8" customWidth="1"/>
    <col min="585" max="585" width="4.42578125" style="8" customWidth="1"/>
    <col min="586" max="586" width="8.7109375" style="8" customWidth="1"/>
    <col min="587" max="587" width="23.28515625" style="8" bestFit="1" customWidth="1"/>
    <col min="588" max="599" width="11.28515625" style="8" customWidth="1"/>
    <col min="600" max="600" width="5.28515625" style="8" customWidth="1"/>
    <col min="601" max="601" width="9.5703125" style="8" customWidth="1"/>
    <col min="602" max="602" width="23.28515625" style="8" bestFit="1" customWidth="1"/>
    <col min="603" max="609" width="15.42578125" style="8" customWidth="1"/>
    <col min="610" max="610" width="6.7109375" style="8" customWidth="1"/>
    <col min="611" max="611" width="9" style="8" customWidth="1"/>
    <col min="612" max="612" width="23.28515625" style="8" bestFit="1" customWidth="1"/>
    <col min="613" max="622" width="11.140625" style="8" customWidth="1"/>
    <col min="623" max="623" width="6.7109375" style="8" customWidth="1"/>
    <col min="624" max="624" width="10.7109375" style="8" customWidth="1"/>
    <col min="625" max="625" width="23.28515625" style="8" bestFit="1" customWidth="1"/>
    <col min="626" max="636" width="13.7109375" style="8" customWidth="1"/>
    <col min="637" max="637" width="5" style="8" customWidth="1"/>
    <col min="638" max="638" width="9.28515625" style="8" customWidth="1"/>
    <col min="639" max="639" width="23.28515625" style="8" bestFit="1" customWidth="1"/>
    <col min="640" max="642" width="11.28515625" style="8" bestFit="1" customWidth="1"/>
    <col min="643" max="643" width="3" style="8" customWidth="1"/>
    <col min="644" max="644" width="8.42578125" style="8" customWidth="1"/>
    <col min="645" max="645" width="23.28515625" style="8" bestFit="1" customWidth="1"/>
    <col min="646" max="659" width="11.85546875" style="8" customWidth="1"/>
    <col min="660" max="660" width="15.5703125" style="8" bestFit="1" customWidth="1"/>
    <col min="661" max="661" width="4.28515625" style="8" customWidth="1"/>
    <col min="662" max="662" width="10.7109375" style="8" customWidth="1"/>
    <col min="663" max="663" width="23.28515625" style="8" bestFit="1" customWidth="1"/>
    <col min="664" max="673" width="11.28515625" style="8" customWidth="1"/>
    <col min="674" max="674" width="23.28515625" style="8" bestFit="1" customWidth="1"/>
    <col min="675" max="679" width="11.28515625" style="8" customWidth="1"/>
    <col min="680" max="774" width="11.5703125" style="8"/>
    <col min="775" max="775" width="9.85546875" style="8" customWidth="1"/>
    <col min="776" max="776" width="23.28515625" style="8" bestFit="1" customWidth="1"/>
    <col min="777" max="794" width="11" style="8" customWidth="1"/>
    <col min="795" max="795" width="10.140625" style="8" customWidth="1"/>
    <col min="796" max="796" width="23.28515625" style="8" bestFit="1" customWidth="1"/>
    <col min="797" max="805" width="11.5703125" style="8" customWidth="1"/>
    <col min="806" max="806" width="5.7109375" style="8" customWidth="1"/>
    <col min="807" max="807" width="11.5703125" style="8" customWidth="1"/>
    <col min="808" max="808" width="23.28515625" style="8" bestFit="1" customWidth="1"/>
    <col min="809" max="822" width="11.85546875" style="8" customWidth="1"/>
    <col min="823" max="823" width="9.7109375" style="8" customWidth="1"/>
    <col min="824" max="824" width="23.28515625" style="8" bestFit="1" customWidth="1"/>
    <col min="825" max="840" width="11.7109375" style="8" customWidth="1"/>
    <col min="841" max="841" width="4.42578125" style="8" customWidth="1"/>
    <col min="842" max="842" width="8.7109375" style="8" customWidth="1"/>
    <col min="843" max="843" width="23.28515625" style="8" bestFit="1" customWidth="1"/>
    <col min="844" max="855" width="11.28515625" style="8" customWidth="1"/>
    <col min="856" max="856" width="5.28515625" style="8" customWidth="1"/>
    <col min="857" max="857" width="9.5703125" style="8" customWidth="1"/>
    <col min="858" max="858" width="23.28515625" style="8" bestFit="1" customWidth="1"/>
    <col min="859" max="865" width="15.42578125" style="8" customWidth="1"/>
    <col min="866" max="866" width="6.7109375" style="8" customWidth="1"/>
    <col min="867" max="867" width="9" style="8" customWidth="1"/>
    <col min="868" max="868" width="23.28515625" style="8" bestFit="1" customWidth="1"/>
    <col min="869" max="878" width="11.140625" style="8" customWidth="1"/>
    <col min="879" max="879" width="6.7109375" style="8" customWidth="1"/>
    <col min="880" max="880" width="10.7109375" style="8" customWidth="1"/>
    <col min="881" max="881" width="23.28515625" style="8" bestFit="1" customWidth="1"/>
    <col min="882" max="892" width="13.7109375" style="8" customWidth="1"/>
    <col min="893" max="893" width="5" style="8" customWidth="1"/>
    <col min="894" max="894" width="9.28515625" style="8" customWidth="1"/>
    <col min="895" max="895" width="23.28515625" style="8" bestFit="1" customWidth="1"/>
    <col min="896" max="898" width="11.28515625" style="8" bestFit="1" customWidth="1"/>
    <col min="899" max="899" width="3" style="8" customWidth="1"/>
    <col min="900" max="900" width="8.42578125" style="8" customWidth="1"/>
    <col min="901" max="901" width="23.28515625" style="8" bestFit="1" customWidth="1"/>
    <col min="902" max="915" width="11.85546875" style="8" customWidth="1"/>
    <col min="916" max="916" width="15.5703125" style="8" bestFit="1" customWidth="1"/>
    <col min="917" max="917" width="4.28515625" style="8" customWidth="1"/>
    <col min="918" max="918" width="10.7109375" style="8" customWidth="1"/>
    <col min="919" max="919" width="23.28515625" style="8" bestFit="1" customWidth="1"/>
    <col min="920" max="929" width="11.28515625" style="8" customWidth="1"/>
    <col min="930" max="930" width="23.28515625" style="8" bestFit="1" customWidth="1"/>
    <col min="931" max="935" width="11.28515625" style="8" customWidth="1"/>
    <col min="936" max="1030" width="11.5703125" style="8"/>
    <col min="1031" max="1031" width="9.85546875" style="8" customWidth="1"/>
    <col min="1032" max="1032" width="23.28515625" style="8" bestFit="1" customWidth="1"/>
    <col min="1033" max="1050" width="11" style="8" customWidth="1"/>
    <col min="1051" max="1051" width="10.140625" style="8" customWidth="1"/>
    <col min="1052" max="1052" width="23.28515625" style="8" bestFit="1" customWidth="1"/>
    <col min="1053" max="1061" width="11.5703125" style="8" customWidth="1"/>
    <col min="1062" max="1062" width="5.7109375" style="8" customWidth="1"/>
    <col min="1063" max="1063" width="11.5703125" style="8" customWidth="1"/>
    <col min="1064" max="1064" width="23.28515625" style="8" bestFit="1" customWidth="1"/>
    <col min="1065" max="1078" width="11.85546875" style="8" customWidth="1"/>
    <col min="1079" max="1079" width="9.7109375" style="8" customWidth="1"/>
    <col min="1080" max="1080" width="23.28515625" style="8" bestFit="1" customWidth="1"/>
    <col min="1081" max="1096" width="11.7109375" style="8" customWidth="1"/>
    <col min="1097" max="1097" width="4.42578125" style="8" customWidth="1"/>
    <col min="1098" max="1098" width="8.7109375" style="8" customWidth="1"/>
    <col min="1099" max="1099" width="23.28515625" style="8" bestFit="1" customWidth="1"/>
    <col min="1100" max="1111" width="11.28515625" style="8" customWidth="1"/>
    <col min="1112" max="1112" width="5.28515625" style="8" customWidth="1"/>
    <col min="1113" max="1113" width="9.5703125" style="8" customWidth="1"/>
    <col min="1114" max="1114" width="23.28515625" style="8" bestFit="1" customWidth="1"/>
    <col min="1115" max="1121" width="15.42578125" style="8" customWidth="1"/>
    <col min="1122" max="1122" width="6.7109375" style="8" customWidth="1"/>
    <col min="1123" max="1123" width="9" style="8" customWidth="1"/>
    <col min="1124" max="1124" width="23.28515625" style="8" bestFit="1" customWidth="1"/>
    <col min="1125" max="1134" width="11.140625" style="8" customWidth="1"/>
    <col min="1135" max="1135" width="6.7109375" style="8" customWidth="1"/>
    <col min="1136" max="1136" width="10.7109375" style="8" customWidth="1"/>
    <col min="1137" max="1137" width="23.28515625" style="8" bestFit="1" customWidth="1"/>
    <col min="1138" max="1148" width="13.7109375" style="8" customWidth="1"/>
    <col min="1149" max="1149" width="5" style="8" customWidth="1"/>
    <col min="1150" max="1150" width="9.28515625" style="8" customWidth="1"/>
    <col min="1151" max="1151" width="23.28515625" style="8" bestFit="1" customWidth="1"/>
    <col min="1152" max="1154" width="11.28515625" style="8" bestFit="1" customWidth="1"/>
    <col min="1155" max="1155" width="3" style="8" customWidth="1"/>
    <col min="1156" max="1156" width="8.42578125" style="8" customWidth="1"/>
    <col min="1157" max="1157" width="23.28515625" style="8" bestFit="1" customWidth="1"/>
    <col min="1158" max="1171" width="11.85546875" style="8" customWidth="1"/>
    <col min="1172" max="1172" width="15.5703125" style="8" bestFit="1" customWidth="1"/>
    <col min="1173" max="1173" width="4.28515625" style="8" customWidth="1"/>
    <col min="1174" max="1174" width="10.7109375" style="8" customWidth="1"/>
    <col min="1175" max="1175" width="23.28515625" style="8" bestFit="1" customWidth="1"/>
    <col min="1176" max="1185" width="11.28515625" style="8" customWidth="1"/>
    <col min="1186" max="1186" width="23.28515625" style="8" bestFit="1" customWidth="1"/>
    <col min="1187" max="1191" width="11.28515625" style="8" customWidth="1"/>
    <col min="1192" max="1286" width="11.5703125" style="8"/>
    <col min="1287" max="1287" width="9.85546875" style="8" customWidth="1"/>
    <col min="1288" max="1288" width="23.28515625" style="8" bestFit="1" customWidth="1"/>
    <col min="1289" max="1306" width="11" style="8" customWidth="1"/>
    <col min="1307" max="1307" width="10.140625" style="8" customWidth="1"/>
    <col min="1308" max="1308" width="23.28515625" style="8" bestFit="1" customWidth="1"/>
    <col min="1309" max="1317" width="11.5703125" style="8" customWidth="1"/>
    <col min="1318" max="1318" width="5.7109375" style="8" customWidth="1"/>
    <col min="1319" max="1319" width="11.5703125" style="8" customWidth="1"/>
    <col min="1320" max="1320" width="23.28515625" style="8" bestFit="1" customWidth="1"/>
    <col min="1321" max="1334" width="11.85546875" style="8" customWidth="1"/>
    <col min="1335" max="1335" width="9.7109375" style="8" customWidth="1"/>
    <col min="1336" max="1336" width="23.28515625" style="8" bestFit="1" customWidth="1"/>
    <col min="1337" max="1352" width="11.7109375" style="8" customWidth="1"/>
    <col min="1353" max="1353" width="4.42578125" style="8" customWidth="1"/>
    <col min="1354" max="1354" width="8.7109375" style="8" customWidth="1"/>
    <col min="1355" max="1355" width="23.28515625" style="8" bestFit="1" customWidth="1"/>
    <col min="1356" max="1367" width="11.28515625" style="8" customWidth="1"/>
    <col min="1368" max="1368" width="5.28515625" style="8" customWidth="1"/>
    <col min="1369" max="1369" width="9.5703125" style="8" customWidth="1"/>
    <col min="1370" max="1370" width="23.28515625" style="8" bestFit="1" customWidth="1"/>
    <col min="1371" max="1377" width="15.42578125" style="8" customWidth="1"/>
    <col min="1378" max="1378" width="6.7109375" style="8" customWidth="1"/>
    <col min="1379" max="1379" width="9" style="8" customWidth="1"/>
    <col min="1380" max="1380" width="23.28515625" style="8" bestFit="1" customWidth="1"/>
    <col min="1381" max="1390" width="11.140625" style="8" customWidth="1"/>
    <col min="1391" max="1391" width="6.7109375" style="8" customWidth="1"/>
    <col min="1392" max="1392" width="10.7109375" style="8" customWidth="1"/>
    <col min="1393" max="1393" width="23.28515625" style="8" bestFit="1" customWidth="1"/>
    <col min="1394" max="1404" width="13.7109375" style="8" customWidth="1"/>
    <col min="1405" max="1405" width="5" style="8" customWidth="1"/>
    <col min="1406" max="1406" width="9.28515625" style="8" customWidth="1"/>
    <col min="1407" max="1407" width="23.28515625" style="8" bestFit="1" customWidth="1"/>
    <col min="1408" max="1410" width="11.28515625" style="8" bestFit="1" customWidth="1"/>
    <col min="1411" max="1411" width="3" style="8" customWidth="1"/>
    <col min="1412" max="1412" width="8.42578125" style="8" customWidth="1"/>
    <col min="1413" max="1413" width="23.28515625" style="8" bestFit="1" customWidth="1"/>
    <col min="1414" max="1427" width="11.85546875" style="8" customWidth="1"/>
    <col min="1428" max="1428" width="15.5703125" style="8" bestFit="1" customWidth="1"/>
    <col min="1429" max="1429" width="4.28515625" style="8" customWidth="1"/>
    <col min="1430" max="1430" width="10.7109375" style="8" customWidth="1"/>
    <col min="1431" max="1431" width="23.28515625" style="8" bestFit="1" customWidth="1"/>
    <col min="1432" max="1441" width="11.28515625" style="8" customWidth="1"/>
    <col min="1442" max="1442" width="23.28515625" style="8" bestFit="1" customWidth="1"/>
    <col min="1443" max="1447" width="11.28515625" style="8" customWidth="1"/>
    <col min="1448" max="1542" width="11.5703125" style="8"/>
    <col min="1543" max="1543" width="9.85546875" style="8" customWidth="1"/>
    <col min="1544" max="1544" width="23.28515625" style="8" bestFit="1" customWidth="1"/>
    <col min="1545" max="1562" width="11" style="8" customWidth="1"/>
    <col min="1563" max="1563" width="10.140625" style="8" customWidth="1"/>
    <col min="1564" max="1564" width="23.28515625" style="8" bestFit="1" customWidth="1"/>
    <col min="1565" max="1573" width="11.5703125" style="8" customWidth="1"/>
    <col min="1574" max="1574" width="5.7109375" style="8" customWidth="1"/>
    <col min="1575" max="1575" width="11.5703125" style="8" customWidth="1"/>
    <col min="1576" max="1576" width="23.28515625" style="8" bestFit="1" customWidth="1"/>
    <col min="1577" max="1590" width="11.85546875" style="8" customWidth="1"/>
    <col min="1591" max="1591" width="9.7109375" style="8" customWidth="1"/>
    <col min="1592" max="1592" width="23.28515625" style="8" bestFit="1" customWidth="1"/>
    <col min="1593" max="1608" width="11.7109375" style="8" customWidth="1"/>
    <col min="1609" max="1609" width="4.42578125" style="8" customWidth="1"/>
    <col min="1610" max="1610" width="8.7109375" style="8" customWidth="1"/>
    <col min="1611" max="1611" width="23.28515625" style="8" bestFit="1" customWidth="1"/>
    <col min="1612" max="1623" width="11.28515625" style="8" customWidth="1"/>
    <col min="1624" max="1624" width="5.28515625" style="8" customWidth="1"/>
    <col min="1625" max="1625" width="9.5703125" style="8" customWidth="1"/>
    <col min="1626" max="1626" width="23.28515625" style="8" bestFit="1" customWidth="1"/>
    <col min="1627" max="1633" width="15.42578125" style="8" customWidth="1"/>
    <col min="1634" max="1634" width="6.7109375" style="8" customWidth="1"/>
    <col min="1635" max="1635" width="9" style="8" customWidth="1"/>
    <col min="1636" max="1636" width="23.28515625" style="8" bestFit="1" customWidth="1"/>
    <col min="1637" max="1646" width="11.140625" style="8" customWidth="1"/>
    <col min="1647" max="1647" width="6.7109375" style="8" customWidth="1"/>
    <col min="1648" max="1648" width="10.7109375" style="8" customWidth="1"/>
    <col min="1649" max="1649" width="23.28515625" style="8" bestFit="1" customWidth="1"/>
    <col min="1650" max="1660" width="13.7109375" style="8" customWidth="1"/>
    <col min="1661" max="1661" width="5" style="8" customWidth="1"/>
    <col min="1662" max="1662" width="9.28515625" style="8" customWidth="1"/>
    <col min="1663" max="1663" width="23.28515625" style="8" bestFit="1" customWidth="1"/>
    <col min="1664" max="1666" width="11.28515625" style="8" bestFit="1" customWidth="1"/>
    <col min="1667" max="1667" width="3" style="8" customWidth="1"/>
    <col min="1668" max="1668" width="8.42578125" style="8" customWidth="1"/>
    <col min="1669" max="1669" width="23.28515625" style="8" bestFit="1" customWidth="1"/>
    <col min="1670" max="1683" width="11.85546875" style="8" customWidth="1"/>
    <col min="1684" max="1684" width="15.5703125" style="8" bestFit="1" customWidth="1"/>
    <col min="1685" max="1685" width="4.28515625" style="8" customWidth="1"/>
    <col min="1686" max="1686" width="10.7109375" style="8" customWidth="1"/>
    <col min="1687" max="1687" width="23.28515625" style="8" bestFit="1" customWidth="1"/>
    <col min="1688" max="1697" width="11.28515625" style="8" customWidth="1"/>
    <col min="1698" max="1698" width="23.28515625" style="8" bestFit="1" customWidth="1"/>
    <col min="1699" max="1703" width="11.28515625" style="8" customWidth="1"/>
    <col min="1704" max="1798" width="11.5703125" style="8"/>
    <col min="1799" max="1799" width="9.85546875" style="8" customWidth="1"/>
    <col min="1800" max="1800" width="23.28515625" style="8" bestFit="1" customWidth="1"/>
    <col min="1801" max="1818" width="11" style="8" customWidth="1"/>
    <col min="1819" max="1819" width="10.140625" style="8" customWidth="1"/>
    <col min="1820" max="1820" width="23.28515625" style="8" bestFit="1" customWidth="1"/>
    <col min="1821" max="1829" width="11.5703125" style="8" customWidth="1"/>
    <col min="1830" max="1830" width="5.7109375" style="8" customWidth="1"/>
    <col min="1831" max="1831" width="11.5703125" style="8" customWidth="1"/>
    <col min="1832" max="1832" width="23.28515625" style="8" bestFit="1" customWidth="1"/>
    <col min="1833" max="1846" width="11.85546875" style="8" customWidth="1"/>
    <col min="1847" max="1847" width="9.7109375" style="8" customWidth="1"/>
    <col min="1848" max="1848" width="23.28515625" style="8" bestFit="1" customWidth="1"/>
    <col min="1849" max="1864" width="11.7109375" style="8" customWidth="1"/>
    <col min="1865" max="1865" width="4.42578125" style="8" customWidth="1"/>
    <col min="1866" max="1866" width="8.7109375" style="8" customWidth="1"/>
    <col min="1867" max="1867" width="23.28515625" style="8" bestFit="1" customWidth="1"/>
    <col min="1868" max="1879" width="11.28515625" style="8" customWidth="1"/>
    <col min="1880" max="1880" width="5.28515625" style="8" customWidth="1"/>
    <col min="1881" max="1881" width="9.5703125" style="8" customWidth="1"/>
    <col min="1882" max="1882" width="23.28515625" style="8" bestFit="1" customWidth="1"/>
    <col min="1883" max="1889" width="15.42578125" style="8" customWidth="1"/>
    <col min="1890" max="1890" width="6.7109375" style="8" customWidth="1"/>
    <col min="1891" max="1891" width="9" style="8" customWidth="1"/>
    <col min="1892" max="1892" width="23.28515625" style="8" bestFit="1" customWidth="1"/>
    <col min="1893" max="1902" width="11.140625" style="8" customWidth="1"/>
    <col min="1903" max="1903" width="6.7109375" style="8" customWidth="1"/>
    <col min="1904" max="1904" width="10.7109375" style="8" customWidth="1"/>
    <col min="1905" max="1905" width="23.28515625" style="8" bestFit="1" customWidth="1"/>
    <col min="1906" max="1916" width="13.7109375" style="8" customWidth="1"/>
    <col min="1917" max="1917" width="5" style="8" customWidth="1"/>
    <col min="1918" max="1918" width="9.28515625" style="8" customWidth="1"/>
    <col min="1919" max="1919" width="23.28515625" style="8" bestFit="1" customWidth="1"/>
    <col min="1920" max="1922" width="11.28515625" style="8" bestFit="1" customWidth="1"/>
    <col min="1923" max="1923" width="3" style="8" customWidth="1"/>
    <col min="1924" max="1924" width="8.42578125" style="8" customWidth="1"/>
    <col min="1925" max="1925" width="23.28515625" style="8" bestFit="1" customWidth="1"/>
    <col min="1926" max="1939" width="11.85546875" style="8" customWidth="1"/>
    <col min="1940" max="1940" width="15.5703125" style="8" bestFit="1" customWidth="1"/>
    <col min="1941" max="1941" width="4.28515625" style="8" customWidth="1"/>
    <col min="1942" max="1942" width="10.7109375" style="8" customWidth="1"/>
    <col min="1943" max="1943" width="23.28515625" style="8" bestFit="1" customWidth="1"/>
    <col min="1944" max="1953" width="11.28515625" style="8" customWidth="1"/>
    <col min="1954" max="1954" width="23.28515625" style="8" bestFit="1" customWidth="1"/>
    <col min="1955" max="1959" width="11.28515625" style="8" customWidth="1"/>
    <col min="1960" max="2054" width="11.5703125" style="8"/>
    <col min="2055" max="2055" width="9.85546875" style="8" customWidth="1"/>
    <col min="2056" max="2056" width="23.28515625" style="8" bestFit="1" customWidth="1"/>
    <col min="2057" max="2074" width="11" style="8" customWidth="1"/>
    <col min="2075" max="2075" width="10.140625" style="8" customWidth="1"/>
    <col min="2076" max="2076" width="23.28515625" style="8" bestFit="1" customWidth="1"/>
    <col min="2077" max="2085" width="11.5703125" style="8" customWidth="1"/>
    <col min="2086" max="2086" width="5.7109375" style="8" customWidth="1"/>
    <col min="2087" max="2087" width="11.5703125" style="8" customWidth="1"/>
    <col min="2088" max="2088" width="23.28515625" style="8" bestFit="1" customWidth="1"/>
    <col min="2089" max="2102" width="11.85546875" style="8" customWidth="1"/>
    <col min="2103" max="2103" width="9.7109375" style="8" customWidth="1"/>
    <col min="2104" max="2104" width="23.28515625" style="8" bestFit="1" customWidth="1"/>
    <col min="2105" max="2120" width="11.7109375" style="8" customWidth="1"/>
    <col min="2121" max="2121" width="4.42578125" style="8" customWidth="1"/>
    <col min="2122" max="2122" width="8.7109375" style="8" customWidth="1"/>
    <col min="2123" max="2123" width="23.28515625" style="8" bestFit="1" customWidth="1"/>
    <col min="2124" max="2135" width="11.28515625" style="8" customWidth="1"/>
    <col min="2136" max="2136" width="5.28515625" style="8" customWidth="1"/>
    <col min="2137" max="2137" width="9.5703125" style="8" customWidth="1"/>
    <col min="2138" max="2138" width="23.28515625" style="8" bestFit="1" customWidth="1"/>
    <col min="2139" max="2145" width="15.42578125" style="8" customWidth="1"/>
    <col min="2146" max="2146" width="6.7109375" style="8" customWidth="1"/>
    <col min="2147" max="2147" width="9" style="8" customWidth="1"/>
    <col min="2148" max="2148" width="23.28515625" style="8" bestFit="1" customWidth="1"/>
    <col min="2149" max="2158" width="11.140625" style="8" customWidth="1"/>
    <col min="2159" max="2159" width="6.7109375" style="8" customWidth="1"/>
    <col min="2160" max="2160" width="10.7109375" style="8" customWidth="1"/>
    <col min="2161" max="2161" width="23.28515625" style="8" bestFit="1" customWidth="1"/>
    <col min="2162" max="2172" width="13.7109375" style="8" customWidth="1"/>
    <col min="2173" max="2173" width="5" style="8" customWidth="1"/>
    <col min="2174" max="2174" width="9.28515625" style="8" customWidth="1"/>
    <col min="2175" max="2175" width="23.28515625" style="8" bestFit="1" customWidth="1"/>
    <col min="2176" max="2178" width="11.28515625" style="8" bestFit="1" customWidth="1"/>
    <col min="2179" max="2179" width="3" style="8" customWidth="1"/>
    <col min="2180" max="2180" width="8.42578125" style="8" customWidth="1"/>
    <col min="2181" max="2181" width="23.28515625" style="8" bestFit="1" customWidth="1"/>
    <col min="2182" max="2195" width="11.85546875" style="8" customWidth="1"/>
    <col min="2196" max="2196" width="15.5703125" style="8" bestFit="1" customWidth="1"/>
    <col min="2197" max="2197" width="4.28515625" style="8" customWidth="1"/>
    <col min="2198" max="2198" width="10.7109375" style="8" customWidth="1"/>
    <col min="2199" max="2199" width="23.28515625" style="8" bestFit="1" customWidth="1"/>
    <col min="2200" max="2209" width="11.28515625" style="8" customWidth="1"/>
    <col min="2210" max="2210" width="23.28515625" style="8" bestFit="1" customWidth="1"/>
    <col min="2211" max="2215" width="11.28515625" style="8" customWidth="1"/>
    <col min="2216" max="2310" width="11.5703125" style="8"/>
    <col min="2311" max="2311" width="9.85546875" style="8" customWidth="1"/>
    <col min="2312" max="2312" width="23.28515625" style="8" bestFit="1" customWidth="1"/>
    <col min="2313" max="2330" width="11" style="8" customWidth="1"/>
    <col min="2331" max="2331" width="10.140625" style="8" customWidth="1"/>
    <col min="2332" max="2332" width="23.28515625" style="8" bestFit="1" customWidth="1"/>
    <col min="2333" max="2341" width="11.5703125" style="8" customWidth="1"/>
    <col min="2342" max="2342" width="5.7109375" style="8" customWidth="1"/>
    <col min="2343" max="2343" width="11.5703125" style="8" customWidth="1"/>
    <col min="2344" max="2344" width="23.28515625" style="8" bestFit="1" customWidth="1"/>
    <col min="2345" max="2358" width="11.85546875" style="8" customWidth="1"/>
    <col min="2359" max="2359" width="9.7109375" style="8" customWidth="1"/>
    <col min="2360" max="2360" width="23.28515625" style="8" bestFit="1" customWidth="1"/>
    <col min="2361" max="2376" width="11.7109375" style="8" customWidth="1"/>
    <col min="2377" max="2377" width="4.42578125" style="8" customWidth="1"/>
    <col min="2378" max="2378" width="8.7109375" style="8" customWidth="1"/>
    <col min="2379" max="2379" width="23.28515625" style="8" bestFit="1" customWidth="1"/>
    <col min="2380" max="2391" width="11.28515625" style="8" customWidth="1"/>
    <col min="2392" max="2392" width="5.28515625" style="8" customWidth="1"/>
    <col min="2393" max="2393" width="9.5703125" style="8" customWidth="1"/>
    <col min="2394" max="2394" width="23.28515625" style="8" bestFit="1" customWidth="1"/>
    <col min="2395" max="2401" width="15.42578125" style="8" customWidth="1"/>
    <col min="2402" max="2402" width="6.7109375" style="8" customWidth="1"/>
    <col min="2403" max="2403" width="9" style="8" customWidth="1"/>
    <col min="2404" max="2404" width="23.28515625" style="8" bestFit="1" customWidth="1"/>
    <col min="2405" max="2414" width="11.140625" style="8" customWidth="1"/>
    <col min="2415" max="2415" width="6.7109375" style="8" customWidth="1"/>
    <col min="2416" max="2416" width="10.7109375" style="8" customWidth="1"/>
    <col min="2417" max="2417" width="23.28515625" style="8" bestFit="1" customWidth="1"/>
    <col min="2418" max="2428" width="13.7109375" style="8" customWidth="1"/>
    <col min="2429" max="2429" width="5" style="8" customWidth="1"/>
    <col min="2430" max="2430" width="9.28515625" style="8" customWidth="1"/>
    <col min="2431" max="2431" width="23.28515625" style="8" bestFit="1" customWidth="1"/>
    <col min="2432" max="2434" width="11.28515625" style="8" bestFit="1" customWidth="1"/>
    <col min="2435" max="2435" width="3" style="8" customWidth="1"/>
    <col min="2436" max="2436" width="8.42578125" style="8" customWidth="1"/>
    <col min="2437" max="2437" width="23.28515625" style="8" bestFit="1" customWidth="1"/>
    <col min="2438" max="2451" width="11.85546875" style="8" customWidth="1"/>
    <col min="2452" max="2452" width="15.5703125" style="8" bestFit="1" customWidth="1"/>
    <col min="2453" max="2453" width="4.28515625" style="8" customWidth="1"/>
    <col min="2454" max="2454" width="10.7109375" style="8" customWidth="1"/>
    <col min="2455" max="2455" width="23.28515625" style="8" bestFit="1" customWidth="1"/>
    <col min="2456" max="2465" width="11.28515625" style="8" customWidth="1"/>
    <col min="2466" max="2466" width="23.28515625" style="8" bestFit="1" customWidth="1"/>
    <col min="2467" max="2471" width="11.28515625" style="8" customWidth="1"/>
    <col min="2472" max="2566" width="11.5703125" style="8"/>
    <col min="2567" max="2567" width="9.85546875" style="8" customWidth="1"/>
    <col min="2568" max="2568" width="23.28515625" style="8" bestFit="1" customWidth="1"/>
    <col min="2569" max="2586" width="11" style="8" customWidth="1"/>
    <col min="2587" max="2587" width="10.140625" style="8" customWidth="1"/>
    <col min="2588" max="2588" width="23.28515625" style="8" bestFit="1" customWidth="1"/>
    <col min="2589" max="2597" width="11.5703125" style="8" customWidth="1"/>
    <col min="2598" max="2598" width="5.7109375" style="8" customWidth="1"/>
    <col min="2599" max="2599" width="11.5703125" style="8" customWidth="1"/>
    <col min="2600" max="2600" width="23.28515625" style="8" bestFit="1" customWidth="1"/>
    <col min="2601" max="2614" width="11.85546875" style="8" customWidth="1"/>
    <col min="2615" max="2615" width="9.7109375" style="8" customWidth="1"/>
    <col min="2616" max="2616" width="23.28515625" style="8" bestFit="1" customWidth="1"/>
    <col min="2617" max="2632" width="11.7109375" style="8" customWidth="1"/>
    <col min="2633" max="2633" width="4.42578125" style="8" customWidth="1"/>
    <col min="2634" max="2634" width="8.7109375" style="8" customWidth="1"/>
    <col min="2635" max="2635" width="23.28515625" style="8" bestFit="1" customWidth="1"/>
    <col min="2636" max="2647" width="11.28515625" style="8" customWidth="1"/>
    <col min="2648" max="2648" width="5.28515625" style="8" customWidth="1"/>
    <col min="2649" max="2649" width="9.5703125" style="8" customWidth="1"/>
    <col min="2650" max="2650" width="23.28515625" style="8" bestFit="1" customWidth="1"/>
    <col min="2651" max="2657" width="15.42578125" style="8" customWidth="1"/>
    <col min="2658" max="2658" width="6.7109375" style="8" customWidth="1"/>
    <col min="2659" max="2659" width="9" style="8" customWidth="1"/>
    <col min="2660" max="2660" width="23.28515625" style="8" bestFit="1" customWidth="1"/>
    <col min="2661" max="2670" width="11.140625" style="8" customWidth="1"/>
    <col min="2671" max="2671" width="6.7109375" style="8" customWidth="1"/>
    <col min="2672" max="2672" width="10.7109375" style="8" customWidth="1"/>
    <col min="2673" max="2673" width="23.28515625" style="8" bestFit="1" customWidth="1"/>
    <col min="2674" max="2684" width="13.7109375" style="8" customWidth="1"/>
    <col min="2685" max="2685" width="5" style="8" customWidth="1"/>
    <col min="2686" max="2686" width="9.28515625" style="8" customWidth="1"/>
    <col min="2687" max="2687" width="23.28515625" style="8" bestFit="1" customWidth="1"/>
    <col min="2688" max="2690" width="11.28515625" style="8" bestFit="1" customWidth="1"/>
    <col min="2691" max="2691" width="3" style="8" customWidth="1"/>
    <col min="2692" max="2692" width="8.42578125" style="8" customWidth="1"/>
    <col min="2693" max="2693" width="23.28515625" style="8" bestFit="1" customWidth="1"/>
    <col min="2694" max="2707" width="11.85546875" style="8" customWidth="1"/>
    <col min="2708" max="2708" width="15.5703125" style="8" bestFit="1" customWidth="1"/>
    <col min="2709" max="2709" width="4.28515625" style="8" customWidth="1"/>
    <col min="2710" max="2710" width="10.7109375" style="8" customWidth="1"/>
    <col min="2711" max="2711" width="23.28515625" style="8" bestFit="1" customWidth="1"/>
    <col min="2712" max="2721" width="11.28515625" style="8" customWidth="1"/>
    <col min="2722" max="2722" width="23.28515625" style="8" bestFit="1" customWidth="1"/>
    <col min="2723" max="2727" width="11.28515625" style="8" customWidth="1"/>
    <col min="2728" max="2822" width="11.5703125" style="8"/>
    <col min="2823" max="2823" width="9.85546875" style="8" customWidth="1"/>
    <col min="2824" max="2824" width="23.28515625" style="8" bestFit="1" customWidth="1"/>
    <col min="2825" max="2842" width="11" style="8" customWidth="1"/>
    <col min="2843" max="2843" width="10.140625" style="8" customWidth="1"/>
    <col min="2844" max="2844" width="23.28515625" style="8" bestFit="1" customWidth="1"/>
    <col min="2845" max="2853" width="11.5703125" style="8" customWidth="1"/>
    <col min="2854" max="2854" width="5.7109375" style="8" customWidth="1"/>
    <col min="2855" max="2855" width="11.5703125" style="8" customWidth="1"/>
    <col min="2856" max="2856" width="23.28515625" style="8" bestFit="1" customWidth="1"/>
    <col min="2857" max="2870" width="11.85546875" style="8" customWidth="1"/>
    <col min="2871" max="2871" width="9.7109375" style="8" customWidth="1"/>
    <col min="2872" max="2872" width="23.28515625" style="8" bestFit="1" customWidth="1"/>
    <col min="2873" max="2888" width="11.7109375" style="8" customWidth="1"/>
    <col min="2889" max="2889" width="4.42578125" style="8" customWidth="1"/>
    <col min="2890" max="2890" width="8.7109375" style="8" customWidth="1"/>
    <col min="2891" max="2891" width="23.28515625" style="8" bestFit="1" customWidth="1"/>
    <col min="2892" max="2903" width="11.28515625" style="8" customWidth="1"/>
    <col min="2904" max="2904" width="5.28515625" style="8" customWidth="1"/>
    <col min="2905" max="2905" width="9.5703125" style="8" customWidth="1"/>
    <col min="2906" max="2906" width="23.28515625" style="8" bestFit="1" customWidth="1"/>
    <col min="2907" max="2913" width="15.42578125" style="8" customWidth="1"/>
    <col min="2914" max="2914" width="6.7109375" style="8" customWidth="1"/>
    <col min="2915" max="2915" width="9" style="8" customWidth="1"/>
    <col min="2916" max="2916" width="23.28515625" style="8" bestFit="1" customWidth="1"/>
    <col min="2917" max="2926" width="11.140625" style="8" customWidth="1"/>
    <col min="2927" max="2927" width="6.7109375" style="8" customWidth="1"/>
    <col min="2928" max="2928" width="10.7109375" style="8" customWidth="1"/>
    <col min="2929" max="2929" width="23.28515625" style="8" bestFit="1" customWidth="1"/>
    <col min="2930" max="2940" width="13.7109375" style="8" customWidth="1"/>
    <col min="2941" max="2941" width="5" style="8" customWidth="1"/>
    <col min="2942" max="2942" width="9.28515625" style="8" customWidth="1"/>
    <col min="2943" max="2943" width="23.28515625" style="8" bestFit="1" customWidth="1"/>
    <col min="2944" max="2946" width="11.28515625" style="8" bestFit="1" customWidth="1"/>
    <col min="2947" max="2947" width="3" style="8" customWidth="1"/>
    <col min="2948" max="2948" width="8.42578125" style="8" customWidth="1"/>
    <col min="2949" max="2949" width="23.28515625" style="8" bestFit="1" customWidth="1"/>
    <col min="2950" max="2963" width="11.85546875" style="8" customWidth="1"/>
    <col min="2964" max="2964" width="15.5703125" style="8" bestFit="1" customWidth="1"/>
    <col min="2965" max="2965" width="4.28515625" style="8" customWidth="1"/>
    <col min="2966" max="2966" width="10.7109375" style="8" customWidth="1"/>
    <col min="2967" max="2967" width="23.28515625" style="8" bestFit="1" customWidth="1"/>
    <col min="2968" max="2977" width="11.28515625" style="8" customWidth="1"/>
    <col min="2978" max="2978" width="23.28515625" style="8" bestFit="1" customWidth="1"/>
    <col min="2979" max="2983" width="11.28515625" style="8" customWidth="1"/>
    <col min="2984" max="3078" width="11.5703125" style="8"/>
    <col min="3079" max="3079" width="9.85546875" style="8" customWidth="1"/>
    <col min="3080" max="3080" width="23.28515625" style="8" bestFit="1" customWidth="1"/>
    <col min="3081" max="3098" width="11" style="8" customWidth="1"/>
    <col min="3099" max="3099" width="10.140625" style="8" customWidth="1"/>
    <col min="3100" max="3100" width="23.28515625" style="8" bestFit="1" customWidth="1"/>
    <col min="3101" max="3109" width="11.5703125" style="8" customWidth="1"/>
    <col min="3110" max="3110" width="5.7109375" style="8" customWidth="1"/>
    <col min="3111" max="3111" width="11.5703125" style="8" customWidth="1"/>
    <col min="3112" max="3112" width="23.28515625" style="8" bestFit="1" customWidth="1"/>
    <col min="3113" max="3126" width="11.85546875" style="8" customWidth="1"/>
    <col min="3127" max="3127" width="9.7109375" style="8" customWidth="1"/>
    <col min="3128" max="3128" width="23.28515625" style="8" bestFit="1" customWidth="1"/>
    <col min="3129" max="3144" width="11.7109375" style="8" customWidth="1"/>
    <col min="3145" max="3145" width="4.42578125" style="8" customWidth="1"/>
    <col min="3146" max="3146" width="8.7109375" style="8" customWidth="1"/>
    <col min="3147" max="3147" width="23.28515625" style="8" bestFit="1" customWidth="1"/>
    <col min="3148" max="3159" width="11.28515625" style="8" customWidth="1"/>
    <col min="3160" max="3160" width="5.28515625" style="8" customWidth="1"/>
    <col min="3161" max="3161" width="9.5703125" style="8" customWidth="1"/>
    <col min="3162" max="3162" width="23.28515625" style="8" bestFit="1" customWidth="1"/>
    <col min="3163" max="3169" width="15.42578125" style="8" customWidth="1"/>
    <col min="3170" max="3170" width="6.7109375" style="8" customWidth="1"/>
    <col min="3171" max="3171" width="9" style="8" customWidth="1"/>
    <col min="3172" max="3172" width="23.28515625" style="8" bestFit="1" customWidth="1"/>
    <col min="3173" max="3182" width="11.140625" style="8" customWidth="1"/>
    <col min="3183" max="3183" width="6.7109375" style="8" customWidth="1"/>
    <col min="3184" max="3184" width="10.7109375" style="8" customWidth="1"/>
    <col min="3185" max="3185" width="23.28515625" style="8" bestFit="1" customWidth="1"/>
    <col min="3186" max="3196" width="13.7109375" style="8" customWidth="1"/>
    <col min="3197" max="3197" width="5" style="8" customWidth="1"/>
    <col min="3198" max="3198" width="9.28515625" style="8" customWidth="1"/>
    <col min="3199" max="3199" width="23.28515625" style="8" bestFit="1" customWidth="1"/>
    <col min="3200" max="3202" width="11.28515625" style="8" bestFit="1" customWidth="1"/>
    <col min="3203" max="3203" width="3" style="8" customWidth="1"/>
    <col min="3204" max="3204" width="8.42578125" style="8" customWidth="1"/>
    <col min="3205" max="3205" width="23.28515625" style="8" bestFit="1" customWidth="1"/>
    <col min="3206" max="3219" width="11.85546875" style="8" customWidth="1"/>
    <col min="3220" max="3220" width="15.5703125" style="8" bestFit="1" customWidth="1"/>
    <col min="3221" max="3221" width="4.28515625" style="8" customWidth="1"/>
    <col min="3222" max="3222" width="10.7109375" style="8" customWidth="1"/>
    <col min="3223" max="3223" width="23.28515625" style="8" bestFit="1" customWidth="1"/>
    <col min="3224" max="3233" width="11.28515625" style="8" customWidth="1"/>
    <col min="3234" max="3234" width="23.28515625" style="8" bestFit="1" customWidth="1"/>
    <col min="3235" max="3239" width="11.28515625" style="8" customWidth="1"/>
    <col min="3240" max="3334" width="11.5703125" style="8"/>
    <col min="3335" max="3335" width="9.85546875" style="8" customWidth="1"/>
    <col min="3336" max="3336" width="23.28515625" style="8" bestFit="1" customWidth="1"/>
    <col min="3337" max="3354" width="11" style="8" customWidth="1"/>
    <col min="3355" max="3355" width="10.140625" style="8" customWidth="1"/>
    <col min="3356" max="3356" width="23.28515625" style="8" bestFit="1" customWidth="1"/>
    <col min="3357" max="3365" width="11.5703125" style="8" customWidth="1"/>
    <col min="3366" max="3366" width="5.7109375" style="8" customWidth="1"/>
    <col min="3367" max="3367" width="11.5703125" style="8" customWidth="1"/>
    <col min="3368" max="3368" width="23.28515625" style="8" bestFit="1" customWidth="1"/>
    <col min="3369" max="3382" width="11.85546875" style="8" customWidth="1"/>
    <col min="3383" max="3383" width="9.7109375" style="8" customWidth="1"/>
    <col min="3384" max="3384" width="23.28515625" style="8" bestFit="1" customWidth="1"/>
    <col min="3385" max="3400" width="11.7109375" style="8" customWidth="1"/>
    <col min="3401" max="3401" width="4.42578125" style="8" customWidth="1"/>
    <col min="3402" max="3402" width="8.7109375" style="8" customWidth="1"/>
    <col min="3403" max="3403" width="23.28515625" style="8" bestFit="1" customWidth="1"/>
    <col min="3404" max="3415" width="11.28515625" style="8" customWidth="1"/>
    <col min="3416" max="3416" width="5.28515625" style="8" customWidth="1"/>
    <col min="3417" max="3417" width="9.5703125" style="8" customWidth="1"/>
    <col min="3418" max="3418" width="23.28515625" style="8" bestFit="1" customWidth="1"/>
    <col min="3419" max="3425" width="15.42578125" style="8" customWidth="1"/>
    <col min="3426" max="3426" width="6.7109375" style="8" customWidth="1"/>
    <col min="3427" max="3427" width="9" style="8" customWidth="1"/>
    <col min="3428" max="3428" width="23.28515625" style="8" bestFit="1" customWidth="1"/>
    <col min="3429" max="3438" width="11.140625" style="8" customWidth="1"/>
    <col min="3439" max="3439" width="6.7109375" style="8" customWidth="1"/>
    <col min="3440" max="3440" width="10.7109375" style="8" customWidth="1"/>
    <col min="3441" max="3441" width="23.28515625" style="8" bestFit="1" customWidth="1"/>
    <col min="3442" max="3452" width="13.7109375" style="8" customWidth="1"/>
    <col min="3453" max="3453" width="5" style="8" customWidth="1"/>
    <col min="3454" max="3454" width="9.28515625" style="8" customWidth="1"/>
    <col min="3455" max="3455" width="23.28515625" style="8" bestFit="1" customWidth="1"/>
    <col min="3456" max="3458" width="11.28515625" style="8" bestFit="1" customWidth="1"/>
    <col min="3459" max="3459" width="3" style="8" customWidth="1"/>
    <col min="3460" max="3460" width="8.42578125" style="8" customWidth="1"/>
    <col min="3461" max="3461" width="23.28515625" style="8" bestFit="1" customWidth="1"/>
    <col min="3462" max="3475" width="11.85546875" style="8" customWidth="1"/>
    <col min="3476" max="3476" width="15.5703125" style="8" bestFit="1" customWidth="1"/>
    <col min="3477" max="3477" width="4.28515625" style="8" customWidth="1"/>
    <col min="3478" max="3478" width="10.7109375" style="8" customWidth="1"/>
    <col min="3479" max="3479" width="23.28515625" style="8" bestFit="1" customWidth="1"/>
    <col min="3480" max="3489" width="11.28515625" style="8" customWidth="1"/>
    <col min="3490" max="3490" width="23.28515625" style="8" bestFit="1" customWidth="1"/>
    <col min="3491" max="3495" width="11.28515625" style="8" customWidth="1"/>
    <col min="3496" max="3590" width="11.5703125" style="8"/>
    <col min="3591" max="3591" width="9.85546875" style="8" customWidth="1"/>
    <col min="3592" max="3592" width="23.28515625" style="8" bestFit="1" customWidth="1"/>
    <col min="3593" max="3610" width="11" style="8" customWidth="1"/>
    <col min="3611" max="3611" width="10.140625" style="8" customWidth="1"/>
    <col min="3612" max="3612" width="23.28515625" style="8" bestFit="1" customWidth="1"/>
    <col min="3613" max="3621" width="11.5703125" style="8" customWidth="1"/>
    <col min="3622" max="3622" width="5.7109375" style="8" customWidth="1"/>
    <col min="3623" max="3623" width="11.5703125" style="8" customWidth="1"/>
    <col min="3624" max="3624" width="23.28515625" style="8" bestFit="1" customWidth="1"/>
    <col min="3625" max="3638" width="11.85546875" style="8" customWidth="1"/>
    <col min="3639" max="3639" width="9.7109375" style="8" customWidth="1"/>
    <col min="3640" max="3640" width="23.28515625" style="8" bestFit="1" customWidth="1"/>
    <col min="3641" max="3656" width="11.7109375" style="8" customWidth="1"/>
    <col min="3657" max="3657" width="4.42578125" style="8" customWidth="1"/>
    <col min="3658" max="3658" width="8.7109375" style="8" customWidth="1"/>
    <col min="3659" max="3659" width="23.28515625" style="8" bestFit="1" customWidth="1"/>
    <col min="3660" max="3671" width="11.28515625" style="8" customWidth="1"/>
    <col min="3672" max="3672" width="5.28515625" style="8" customWidth="1"/>
    <col min="3673" max="3673" width="9.5703125" style="8" customWidth="1"/>
    <col min="3674" max="3674" width="23.28515625" style="8" bestFit="1" customWidth="1"/>
    <col min="3675" max="3681" width="15.42578125" style="8" customWidth="1"/>
    <col min="3682" max="3682" width="6.7109375" style="8" customWidth="1"/>
    <col min="3683" max="3683" width="9" style="8" customWidth="1"/>
    <col min="3684" max="3684" width="23.28515625" style="8" bestFit="1" customWidth="1"/>
    <col min="3685" max="3694" width="11.140625" style="8" customWidth="1"/>
    <col min="3695" max="3695" width="6.7109375" style="8" customWidth="1"/>
    <col min="3696" max="3696" width="10.7109375" style="8" customWidth="1"/>
    <col min="3697" max="3697" width="23.28515625" style="8" bestFit="1" customWidth="1"/>
    <col min="3698" max="3708" width="13.7109375" style="8" customWidth="1"/>
    <col min="3709" max="3709" width="5" style="8" customWidth="1"/>
    <col min="3710" max="3710" width="9.28515625" style="8" customWidth="1"/>
    <col min="3711" max="3711" width="23.28515625" style="8" bestFit="1" customWidth="1"/>
    <col min="3712" max="3714" width="11.28515625" style="8" bestFit="1" customWidth="1"/>
    <col min="3715" max="3715" width="3" style="8" customWidth="1"/>
    <col min="3716" max="3716" width="8.42578125" style="8" customWidth="1"/>
    <col min="3717" max="3717" width="23.28515625" style="8" bestFit="1" customWidth="1"/>
    <col min="3718" max="3731" width="11.85546875" style="8" customWidth="1"/>
    <col min="3732" max="3732" width="15.5703125" style="8" bestFit="1" customWidth="1"/>
    <col min="3733" max="3733" width="4.28515625" style="8" customWidth="1"/>
    <col min="3734" max="3734" width="10.7109375" style="8" customWidth="1"/>
    <col min="3735" max="3735" width="23.28515625" style="8" bestFit="1" customWidth="1"/>
    <col min="3736" max="3745" width="11.28515625" style="8" customWidth="1"/>
    <col min="3746" max="3746" width="23.28515625" style="8" bestFit="1" customWidth="1"/>
    <col min="3747" max="3751" width="11.28515625" style="8" customWidth="1"/>
    <col min="3752" max="3846" width="11.5703125" style="8"/>
    <col min="3847" max="3847" width="9.85546875" style="8" customWidth="1"/>
    <col min="3848" max="3848" width="23.28515625" style="8" bestFit="1" customWidth="1"/>
    <col min="3849" max="3866" width="11" style="8" customWidth="1"/>
    <col min="3867" max="3867" width="10.140625" style="8" customWidth="1"/>
    <col min="3868" max="3868" width="23.28515625" style="8" bestFit="1" customWidth="1"/>
    <col min="3869" max="3877" width="11.5703125" style="8" customWidth="1"/>
    <col min="3878" max="3878" width="5.7109375" style="8" customWidth="1"/>
    <col min="3879" max="3879" width="11.5703125" style="8" customWidth="1"/>
    <col min="3880" max="3880" width="23.28515625" style="8" bestFit="1" customWidth="1"/>
    <col min="3881" max="3894" width="11.85546875" style="8" customWidth="1"/>
    <col min="3895" max="3895" width="9.7109375" style="8" customWidth="1"/>
    <col min="3896" max="3896" width="23.28515625" style="8" bestFit="1" customWidth="1"/>
    <col min="3897" max="3912" width="11.7109375" style="8" customWidth="1"/>
    <col min="3913" max="3913" width="4.42578125" style="8" customWidth="1"/>
    <col min="3914" max="3914" width="8.7109375" style="8" customWidth="1"/>
    <col min="3915" max="3915" width="23.28515625" style="8" bestFit="1" customWidth="1"/>
    <col min="3916" max="3927" width="11.28515625" style="8" customWidth="1"/>
    <col min="3928" max="3928" width="5.28515625" style="8" customWidth="1"/>
    <col min="3929" max="3929" width="9.5703125" style="8" customWidth="1"/>
    <col min="3930" max="3930" width="23.28515625" style="8" bestFit="1" customWidth="1"/>
    <col min="3931" max="3937" width="15.42578125" style="8" customWidth="1"/>
    <col min="3938" max="3938" width="6.7109375" style="8" customWidth="1"/>
    <col min="3939" max="3939" width="9" style="8" customWidth="1"/>
    <col min="3940" max="3940" width="23.28515625" style="8" bestFit="1" customWidth="1"/>
    <col min="3941" max="3950" width="11.140625" style="8" customWidth="1"/>
    <col min="3951" max="3951" width="6.7109375" style="8" customWidth="1"/>
    <col min="3952" max="3952" width="10.7109375" style="8" customWidth="1"/>
    <col min="3953" max="3953" width="23.28515625" style="8" bestFit="1" customWidth="1"/>
    <col min="3954" max="3964" width="13.7109375" style="8" customWidth="1"/>
    <col min="3965" max="3965" width="5" style="8" customWidth="1"/>
    <col min="3966" max="3966" width="9.28515625" style="8" customWidth="1"/>
    <col min="3967" max="3967" width="23.28515625" style="8" bestFit="1" customWidth="1"/>
    <col min="3968" max="3970" width="11.28515625" style="8" bestFit="1" customWidth="1"/>
    <col min="3971" max="3971" width="3" style="8" customWidth="1"/>
    <col min="3972" max="3972" width="8.42578125" style="8" customWidth="1"/>
    <col min="3973" max="3973" width="23.28515625" style="8" bestFit="1" customWidth="1"/>
    <col min="3974" max="3987" width="11.85546875" style="8" customWidth="1"/>
    <col min="3988" max="3988" width="15.5703125" style="8" bestFit="1" customWidth="1"/>
    <col min="3989" max="3989" width="4.28515625" style="8" customWidth="1"/>
    <col min="3990" max="3990" width="10.7109375" style="8" customWidth="1"/>
    <col min="3991" max="3991" width="23.28515625" style="8" bestFit="1" customWidth="1"/>
    <col min="3992" max="4001" width="11.28515625" style="8" customWidth="1"/>
    <col min="4002" max="4002" width="23.28515625" style="8" bestFit="1" customWidth="1"/>
    <col min="4003" max="4007" width="11.28515625" style="8" customWidth="1"/>
    <col min="4008" max="4102" width="11.5703125" style="8"/>
    <col min="4103" max="4103" width="9.85546875" style="8" customWidth="1"/>
    <col min="4104" max="4104" width="23.28515625" style="8" bestFit="1" customWidth="1"/>
    <col min="4105" max="4122" width="11" style="8" customWidth="1"/>
    <col min="4123" max="4123" width="10.140625" style="8" customWidth="1"/>
    <col min="4124" max="4124" width="23.28515625" style="8" bestFit="1" customWidth="1"/>
    <col min="4125" max="4133" width="11.5703125" style="8" customWidth="1"/>
    <col min="4134" max="4134" width="5.7109375" style="8" customWidth="1"/>
    <col min="4135" max="4135" width="11.5703125" style="8" customWidth="1"/>
    <col min="4136" max="4136" width="23.28515625" style="8" bestFit="1" customWidth="1"/>
    <col min="4137" max="4150" width="11.85546875" style="8" customWidth="1"/>
    <col min="4151" max="4151" width="9.7109375" style="8" customWidth="1"/>
    <col min="4152" max="4152" width="23.28515625" style="8" bestFit="1" customWidth="1"/>
    <col min="4153" max="4168" width="11.7109375" style="8" customWidth="1"/>
    <col min="4169" max="4169" width="4.42578125" style="8" customWidth="1"/>
    <col min="4170" max="4170" width="8.7109375" style="8" customWidth="1"/>
    <col min="4171" max="4171" width="23.28515625" style="8" bestFit="1" customWidth="1"/>
    <col min="4172" max="4183" width="11.28515625" style="8" customWidth="1"/>
    <col min="4184" max="4184" width="5.28515625" style="8" customWidth="1"/>
    <col min="4185" max="4185" width="9.5703125" style="8" customWidth="1"/>
    <col min="4186" max="4186" width="23.28515625" style="8" bestFit="1" customWidth="1"/>
    <col min="4187" max="4193" width="15.42578125" style="8" customWidth="1"/>
    <col min="4194" max="4194" width="6.7109375" style="8" customWidth="1"/>
    <col min="4195" max="4195" width="9" style="8" customWidth="1"/>
    <col min="4196" max="4196" width="23.28515625" style="8" bestFit="1" customWidth="1"/>
    <col min="4197" max="4206" width="11.140625" style="8" customWidth="1"/>
    <col min="4207" max="4207" width="6.7109375" style="8" customWidth="1"/>
    <col min="4208" max="4208" width="10.7109375" style="8" customWidth="1"/>
    <col min="4209" max="4209" width="23.28515625" style="8" bestFit="1" customWidth="1"/>
    <col min="4210" max="4220" width="13.7109375" style="8" customWidth="1"/>
    <col min="4221" max="4221" width="5" style="8" customWidth="1"/>
    <col min="4222" max="4222" width="9.28515625" style="8" customWidth="1"/>
    <col min="4223" max="4223" width="23.28515625" style="8" bestFit="1" customWidth="1"/>
    <col min="4224" max="4226" width="11.28515625" style="8" bestFit="1" customWidth="1"/>
    <col min="4227" max="4227" width="3" style="8" customWidth="1"/>
    <col min="4228" max="4228" width="8.42578125" style="8" customWidth="1"/>
    <col min="4229" max="4229" width="23.28515625" style="8" bestFit="1" customWidth="1"/>
    <col min="4230" max="4243" width="11.85546875" style="8" customWidth="1"/>
    <col min="4244" max="4244" width="15.5703125" style="8" bestFit="1" customWidth="1"/>
    <col min="4245" max="4245" width="4.28515625" style="8" customWidth="1"/>
    <col min="4246" max="4246" width="10.7109375" style="8" customWidth="1"/>
    <col min="4247" max="4247" width="23.28515625" style="8" bestFit="1" customWidth="1"/>
    <col min="4248" max="4257" width="11.28515625" style="8" customWidth="1"/>
    <col min="4258" max="4258" width="23.28515625" style="8" bestFit="1" customWidth="1"/>
    <col min="4259" max="4263" width="11.28515625" style="8" customWidth="1"/>
    <col min="4264" max="4358" width="11.5703125" style="8"/>
    <col min="4359" max="4359" width="9.85546875" style="8" customWidth="1"/>
    <col min="4360" max="4360" width="23.28515625" style="8" bestFit="1" customWidth="1"/>
    <col min="4361" max="4378" width="11" style="8" customWidth="1"/>
    <col min="4379" max="4379" width="10.140625" style="8" customWidth="1"/>
    <col min="4380" max="4380" width="23.28515625" style="8" bestFit="1" customWidth="1"/>
    <col min="4381" max="4389" width="11.5703125" style="8" customWidth="1"/>
    <col min="4390" max="4390" width="5.7109375" style="8" customWidth="1"/>
    <col min="4391" max="4391" width="11.5703125" style="8" customWidth="1"/>
    <col min="4392" max="4392" width="23.28515625" style="8" bestFit="1" customWidth="1"/>
    <col min="4393" max="4406" width="11.85546875" style="8" customWidth="1"/>
    <col min="4407" max="4407" width="9.7109375" style="8" customWidth="1"/>
    <col min="4408" max="4408" width="23.28515625" style="8" bestFit="1" customWidth="1"/>
    <col min="4409" max="4424" width="11.7109375" style="8" customWidth="1"/>
    <col min="4425" max="4425" width="4.42578125" style="8" customWidth="1"/>
    <col min="4426" max="4426" width="8.7109375" style="8" customWidth="1"/>
    <col min="4427" max="4427" width="23.28515625" style="8" bestFit="1" customWidth="1"/>
    <col min="4428" max="4439" width="11.28515625" style="8" customWidth="1"/>
    <col min="4440" max="4440" width="5.28515625" style="8" customWidth="1"/>
    <col min="4441" max="4441" width="9.5703125" style="8" customWidth="1"/>
    <col min="4442" max="4442" width="23.28515625" style="8" bestFit="1" customWidth="1"/>
    <col min="4443" max="4449" width="15.42578125" style="8" customWidth="1"/>
    <col min="4450" max="4450" width="6.7109375" style="8" customWidth="1"/>
    <col min="4451" max="4451" width="9" style="8" customWidth="1"/>
    <col min="4452" max="4452" width="23.28515625" style="8" bestFit="1" customWidth="1"/>
    <col min="4453" max="4462" width="11.140625" style="8" customWidth="1"/>
    <col min="4463" max="4463" width="6.7109375" style="8" customWidth="1"/>
    <col min="4464" max="4464" width="10.7109375" style="8" customWidth="1"/>
    <col min="4465" max="4465" width="23.28515625" style="8" bestFit="1" customWidth="1"/>
    <col min="4466" max="4476" width="13.7109375" style="8" customWidth="1"/>
    <col min="4477" max="4477" width="5" style="8" customWidth="1"/>
    <col min="4478" max="4478" width="9.28515625" style="8" customWidth="1"/>
    <col min="4479" max="4479" width="23.28515625" style="8" bestFit="1" customWidth="1"/>
    <col min="4480" max="4482" width="11.28515625" style="8" bestFit="1" customWidth="1"/>
    <col min="4483" max="4483" width="3" style="8" customWidth="1"/>
    <col min="4484" max="4484" width="8.42578125" style="8" customWidth="1"/>
    <col min="4485" max="4485" width="23.28515625" style="8" bestFit="1" customWidth="1"/>
    <col min="4486" max="4499" width="11.85546875" style="8" customWidth="1"/>
    <col min="4500" max="4500" width="15.5703125" style="8" bestFit="1" customWidth="1"/>
    <col min="4501" max="4501" width="4.28515625" style="8" customWidth="1"/>
    <col min="4502" max="4502" width="10.7109375" style="8" customWidth="1"/>
    <col min="4503" max="4503" width="23.28515625" style="8" bestFit="1" customWidth="1"/>
    <col min="4504" max="4513" width="11.28515625" style="8" customWidth="1"/>
    <col min="4514" max="4514" width="23.28515625" style="8" bestFit="1" customWidth="1"/>
    <col min="4515" max="4519" width="11.28515625" style="8" customWidth="1"/>
    <col min="4520" max="4614" width="11.5703125" style="8"/>
    <col min="4615" max="4615" width="9.85546875" style="8" customWidth="1"/>
    <col min="4616" max="4616" width="23.28515625" style="8" bestFit="1" customWidth="1"/>
    <col min="4617" max="4634" width="11" style="8" customWidth="1"/>
    <col min="4635" max="4635" width="10.140625" style="8" customWidth="1"/>
    <col min="4636" max="4636" width="23.28515625" style="8" bestFit="1" customWidth="1"/>
    <col min="4637" max="4645" width="11.5703125" style="8" customWidth="1"/>
    <col min="4646" max="4646" width="5.7109375" style="8" customWidth="1"/>
    <col min="4647" max="4647" width="11.5703125" style="8" customWidth="1"/>
    <col min="4648" max="4648" width="23.28515625" style="8" bestFit="1" customWidth="1"/>
    <col min="4649" max="4662" width="11.85546875" style="8" customWidth="1"/>
    <col min="4663" max="4663" width="9.7109375" style="8" customWidth="1"/>
    <col min="4664" max="4664" width="23.28515625" style="8" bestFit="1" customWidth="1"/>
    <col min="4665" max="4680" width="11.7109375" style="8" customWidth="1"/>
    <col min="4681" max="4681" width="4.42578125" style="8" customWidth="1"/>
    <col min="4682" max="4682" width="8.7109375" style="8" customWidth="1"/>
    <col min="4683" max="4683" width="23.28515625" style="8" bestFit="1" customWidth="1"/>
    <col min="4684" max="4695" width="11.28515625" style="8" customWidth="1"/>
    <col min="4696" max="4696" width="5.28515625" style="8" customWidth="1"/>
    <col min="4697" max="4697" width="9.5703125" style="8" customWidth="1"/>
    <col min="4698" max="4698" width="23.28515625" style="8" bestFit="1" customWidth="1"/>
    <col min="4699" max="4705" width="15.42578125" style="8" customWidth="1"/>
    <col min="4706" max="4706" width="6.7109375" style="8" customWidth="1"/>
    <col min="4707" max="4707" width="9" style="8" customWidth="1"/>
    <col min="4708" max="4708" width="23.28515625" style="8" bestFit="1" customWidth="1"/>
    <col min="4709" max="4718" width="11.140625" style="8" customWidth="1"/>
    <col min="4719" max="4719" width="6.7109375" style="8" customWidth="1"/>
    <col min="4720" max="4720" width="10.7109375" style="8" customWidth="1"/>
    <col min="4721" max="4721" width="23.28515625" style="8" bestFit="1" customWidth="1"/>
    <col min="4722" max="4732" width="13.7109375" style="8" customWidth="1"/>
    <col min="4733" max="4733" width="5" style="8" customWidth="1"/>
    <col min="4734" max="4734" width="9.28515625" style="8" customWidth="1"/>
    <col min="4735" max="4735" width="23.28515625" style="8" bestFit="1" customWidth="1"/>
    <col min="4736" max="4738" width="11.28515625" style="8" bestFit="1" customWidth="1"/>
    <col min="4739" max="4739" width="3" style="8" customWidth="1"/>
    <col min="4740" max="4740" width="8.42578125" style="8" customWidth="1"/>
    <col min="4741" max="4741" width="23.28515625" style="8" bestFit="1" customWidth="1"/>
    <col min="4742" max="4755" width="11.85546875" style="8" customWidth="1"/>
    <col min="4756" max="4756" width="15.5703125" style="8" bestFit="1" customWidth="1"/>
    <col min="4757" max="4757" width="4.28515625" style="8" customWidth="1"/>
    <col min="4758" max="4758" width="10.7109375" style="8" customWidth="1"/>
    <col min="4759" max="4759" width="23.28515625" style="8" bestFit="1" customWidth="1"/>
    <col min="4760" max="4769" width="11.28515625" style="8" customWidth="1"/>
    <col min="4770" max="4770" width="23.28515625" style="8" bestFit="1" customWidth="1"/>
    <col min="4771" max="4775" width="11.28515625" style="8" customWidth="1"/>
    <col min="4776" max="4870" width="11.5703125" style="8"/>
    <col min="4871" max="4871" width="9.85546875" style="8" customWidth="1"/>
    <col min="4872" max="4872" width="23.28515625" style="8" bestFit="1" customWidth="1"/>
    <col min="4873" max="4890" width="11" style="8" customWidth="1"/>
    <col min="4891" max="4891" width="10.140625" style="8" customWidth="1"/>
    <col min="4892" max="4892" width="23.28515625" style="8" bestFit="1" customWidth="1"/>
    <col min="4893" max="4901" width="11.5703125" style="8" customWidth="1"/>
    <col min="4902" max="4902" width="5.7109375" style="8" customWidth="1"/>
    <col min="4903" max="4903" width="11.5703125" style="8" customWidth="1"/>
    <col min="4904" max="4904" width="23.28515625" style="8" bestFit="1" customWidth="1"/>
    <col min="4905" max="4918" width="11.85546875" style="8" customWidth="1"/>
    <col min="4919" max="4919" width="9.7109375" style="8" customWidth="1"/>
    <col min="4920" max="4920" width="23.28515625" style="8" bestFit="1" customWidth="1"/>
    <col min="4921" max="4936" width="11.7109375" style="8" customWidth="1"/>
    <col min="4937" max="4937" width="4.42578125" style="8" customWidth="1"/>
    <col min="4938" max="4938" width="8.7109375" style="8" customWidth="1"/>
    <col min="4939" max="4939" width="23.28515625" style="8" bestFit="1" customWidth="1"/>
    <col min="4940" max="4951" width="11.28515625" style="8" customWidth="1"/>
    <col min="4952" max="4952" width="5.28515625" style="8" customWidth="1"/>
    <col min="4953" max="4953" width="9.5703125" style="8" customWidth="1"/>
    <col min="4954" max="4954" width="23.28515625" style="8" bestFit="1" customWidth="1"/>
    <col min="4955" max="4961" width="15.42578125" style="8" customWidth="1"/>
    <col min="4962" max="4962" width="6.7109375" style="8" customWidth="1"/>
    <col min="4963" max="4963" width="9" style="8" customWidth="1"/>
    <col min="4964" max="4964" width="23.28515625" style="8" bestFit="1" customWidth="1"/>
    <col min="4965" max="4974" width="11.140625" style="8" customWidth="1"/>
    <col min="4975" max="4975" width="6.7109375" style="8" customWidth="1"/>
    <col min="4976" max="4976" width="10.7109375" style="8" customWidth="1"/>
    <col min="4977" max="4977" width="23.28515625" style="8" bestFit="1" customWidth="1"/>
    <col min="4978" max="4988" width="13.7109375" style="8" customWidth="1"/>
    <col min="4989" max="4989" width="5" style="8" customWidth="1"/>
    <col min="4990" max="4990" width="9.28515625" style="8" customWidth="1"/>
    <col min="4991" max="4991" width="23.28515625" style="8" bestFit="1" customWidth="1"/>
    <col min="4992" max="4994" width="11.28515625" style="8" bestFit="1" customWidth="1"/>
    <col min="4995" max="4995" width="3" style="8" customWidth="1"/>
    <col min="4996" max="4996" width="8.42578125" style="8" customWidth="1"/>
    <col min="4997" max="4997" width="23.28515625" style="8" bestFit="1" customWidth="1"/>
    <col min="4998" max="5011" width="11.85546875" style="8" customWidth="1"/>
    <col min="5012" max="5012" width="15.5703125" style="8" bestFit="1" customWidth="1"/>
    <col min="5013" max="5013" width="4.28515625" style="8" customWidth="1"/>
    <col min="5014" max="5014" width="10.7109375" style="8" customWidth="1"/>
    <col min="5015" max="5015" width="23.28515625" style="8" bestFit="1" customWidth="1"/>
    <col min="5016" max="5025" width="11.28515625" style="8" customWidth="1"/>
    <col min="5026" max="5026" width="23.28515625" style="8" bestFit="1" customWidth="1"/>
    <col min="5027" max="5031" width="11.28515625" style="8" customWidth="1"/>
    <col min="5032" max="5126" width="11.5703125" style="8"/>
    <col min="5127" max="5127" width="9.85546875" style="8" customWidth="1"/>
    <col min="5128" max="5128" width="23.28515625" style="8" bestFit="1" customWidth="1"/>
    <col min="5129" max="5146" width="11" style="8" customWidth="1"/>
    <col min="5147" max="5147" width="10.140625" style="8" customWidth="1"/>
    <col min="5148" max="5148" width="23.28515625" style="8" bestFit="1" customWidth="1"/>
    <col min="5149" max="5157" width="11.5703125" style="8" customWidth="1"/>
    <col min="5158" max="5158" width="5.7109375" style="8" customWidth="1"/>
    <col min="5159" max="5159" width="11.5703125" style="8" customWidth="1"/>
    <col min="5160" max="5160" width="23.28515625" style="8" bestFit="1" customWidth="1"/>
    <col min="5161" max="5174" width="11.85546875" style="8" customWidth="1"/>
    <col min="5175" max="5175" width="9.7109375" style="8" customWidth="1"/>
    <col min="5176" max="5176" width="23.28515625" style="8" bestFit="1" customWidth="1"/>
    <col min="5177" max="5192" width="11.7109375" style="8" customWidth="1"/>
    <col min="5193" max="5193" width="4.42578125" style="8" customWidth="1"/>
    <col min="5194" max="5194" width="8.7109375" style="8" customWidth="1"/>
    <col min="5195" max="5195" width="23.28515625" style="8" bestFit="1" customWidth="1"/>
    <col min="5196" max="5207" width="11.28515625" style="8" customWidth="1"/>
    <col min="5208" max="5208" width="5.28515625" style="8" customWidth="1"/>
    <col min="5209" max="5209" width="9.5703125" style="8" customWidth="1"/>
    <col min="5210" max="5210" width="23.28515625" style="8" bestFit="1" customWidth="1"/>
    <col min="5211" max="5217" width="15.42578125" style="8" customWidth="1"/>
    <col min="5218" max="5218" width="6.7109375" style="8" customWidth="1"/>
    <col min="5219" max="5219" width="9" style="8" customWidth="1"/>
    <col min="5220" max="5220" width="23.28515625" style="8" bestFit="1" customWidth="1"/>
    <col min="5221" max="5230" width="11.140625" style="8" customWidth="1"/>
    <col min="5231" max="5231" width="6.7109375" style="8" customWidth="1"/>
    <col min="5232" max="5232" width="10.7109375" style="8" customWidth="1"/>
    <col min="5233" max="5233" width="23.28515625" style="8" bestFit="1" customWidth="1"/>
    <col min="5234" max="5244" width="13.7109375" style="8" customWidth="1"/>
    <col min="5245" max="5245" width="5" style="8" customWidth="1"/>
    <col min="5246" max="5246" width="9.28515625" style="8" customWidth="1"/>
    <col min="5247" max="5247" width="23.28515625" style="8" bestFit="1" customWidth="1"/>
    <col min="5248" max="5250" width="11.28515625" style="8" bestFit="1" customWidth="1"/>
    <col min="5251" max="5251" width="3" style="8" customWidth="1"/>
    <col min="5252" max="5252" width="8.42578125" style="8" customWidth="1"/>
    <col min="5253" max="5253" width="23.28515625" style="8" bestFit="1" customWidth="1"/>
    <col min="5254" max="5267" width="11.85546875" style="8" customWidth="1"/>
    <col min="5268" max="5268" width="15.5703125" style="8" bestFit="1" customWidth="1"/>
    <col min="5269" max="5269" width="4.28515625" style="8" customWidth="1"/>
    <col min="5270" max="5270" width="10.7109375" style="8" customWidth="1"/>
    <col min="5271" max="5271" width="23.28515625" style="8" bestFit="1" customWidth="1"/>
    <col min="5272" max="5281" width="11.28515625" style="8" customWidth="1"/>
    <col min="5282" max="5282" width="23.28515625" style="8" bestFit="1" customWidth="1"/>
    <col min="5283" max="5287" width="11.28515625" style="8" customWidth="1"/>
    <col min="5288" max="5382" width="11.5703125" style="8"/>
    <col min="5383" max="5383" width="9.85546875" style="8" customWidth="1"/>
    <col min="5384" max="5384" width="23.28515625" style="8" bestFit="1" customWidth="1"/>
    <col min="5385" max="5402" width="11" style="8" customWidth="1"/>
    <col min="5403" max="5403" width="10.140625" style="8" customWidth="1"/>
    <col min="5404" max="5404" width="23.28515625" style="8" bestFit="1" customWidth="1"/>
    <col min="5405" max="5413" width="11.5703125" style="8" customWidth="1"/>
    <col min="5414" max="5414" width="5.7109375" style="8" customWidth="1"/>
    <col min="5415" max="5415" width="11.5703125" style="8" customWidth="1"/>
    <col min="5416" max="5416" width="23.28515625" style="8" bestFit="1" customWidth="1"/>
    <col min="5417" max="5430" width="11.85546875" style="8" customWidth="1"/>
    <col min="5431" max="5431" width="9.7109375" style="8" customWidth="1"/>
    <col min="5432" max="5432" width="23.28515625" style="8" bestFit="1" customWidth="1"/>
    <col min="5433" max="5448" width="11.7109375" style="8" customWidth="1"/>
    <col min="5449" max="5449" width="4.42578125" style="8" customWidth="1"/>
    <col min="5450" max="5450" width="8.7109375" style="8" customWidth="1"/>
    <col min="5451" max="5451" width="23.28515625" style="8" bestFit="1" customWidth="1"/>
    <col min="5452" max="5463" width="11.28515625" style="8" customWidth="1"/>
    <col min="5464" max="5464" width="5.28515625" style="8" customWidth="1"/>
    <col min="5465" max="5465" width="9.5703125" style="8" customWidth="1"/>
    <col min="5466" max="5466" width="23.28515625" style="8" bestFit="1" customWidth="1"/>
    <col min="5467" max="5473" width="15.42578125" style="8" customWidth="1"/>
    <col min="5474" max="5474" width="6.7109375" style="8" customWidth="1"/>
    <col min="5475" max="5475" width="9" style="8" customWidth="1"/>
    <col min="5476" max="5476" width="23.28515625" style="8" bestFit="1" customWidth="1"/>
    <col min="5477" max="5486" width="11.140625" style="8" customWidth="1"/>
    <col min="5487" max="5487" width="6.7109375" style="8" customWidth="1"/>
    <col min="5488" max="5488" width="10.7109375" style="8" customWidth="1"/>
    <col min="5489" max="5489" width="23.28515625" style="8" bestFit="1" customWidth="1"/>
    <col min="5490" max="5500" width="13.7109375" style="8" customWidth="1"/>
    <col min="5501" max="5501" width="5" style="8" customWidth="1"/>
    <col min="5502" max="5502" width="9.28515625" style="8" customWidth="1"/>
    <col min="5503" max="5503" width="23.28515625" style="8" bestFit="1" customWidth="1"/>
    <col min="5504" max="5506" width="11.28515625" style="8" bestFit="1" customWidth="1"/>
    <col min="5507" max="5507" width="3" style="8" customWidth="1"/>
    <col min="5508" max="5508" width="8.42578125" style="8" customWidth="1"/>
    <col min="5509" max="5509" width="23.28515625" style="8" bestFit="1" customWidth="1"/>
    <col min="5510" max="5523" width="11.85546875" style="8" customWidth="1"/>
    <col min="5524" max="5524" width="15.5703125" style="8" bestFit="1" customWidth="1"/>
    <col min="5525" max="5525" width="4.28515625" style="8" customWidth="1"/>
    <col min="5526" max="5526" width="10.7109375" style="8" customWidth="1"/>
    <col min="5527" max="5527" width="23.28515625" style="8" bestFit="1" customWidth="1"/>
    <col min="5528" max="5537" width="11.28515625" style="8" customWidth="1"/>
    <col min="5538" max="5538" width="23.28515625" style="8" bestFit="1" customWidth="1"/>
    <col min="5539" max="5543" width="11.28515625" style="8" customWidth="1"/>
    <col min="5544" max="5638" width="11.5703125" style="8"/>
    <col min="5639" max="5639" width="9.85546875" style="8" customWidth="1"/>
    <col min="5640" max="5640" width="23.28515625" style="8" bestFit="1" customWidth="1"/>
    <col min="5641" max="5658" width="11" style="8" customWidth="1"/>
    <col min="5659" max="5659" width="10.140625" style="8" customWidth="1"/>
    <col min="5660" max="5660" width="23.28515625" style="8" bestFit="1" customWidth="1"/>
    <col min="5661" max="5669" width="11.5703125" style="8" customWidth="1"/>
    <col min="5670" max="5670" width="5.7109375" style="8" customWidth="1"/>
    <col min="5671" max="5671" width="11.5703125" style="8" customWidth="1"/>
    <col min="5672" max="5672" width="23.28515625" style="8" bestFit="1" customWidth="1"/>
    <col min="5673" max="5686" width="11.85546875" style="8" customWidth="1"/>
    <col min="5687" max="5687" width="9.7109375" style="8" customWidth="1"/>
    <col min="5688" max="5688" width="23.28515625" style="8" bestFit="1" customWidth="1"/>
    <col min="5689" max="5704" width="11.7109375" style="8" customWidth="1"/>
    <col min="5705" max="5705" width="4.42578125" style="8" customWidth="1"/>
    <col min="5706" max="5706" width="8.7109375" style="8" customWidth="1"/>
    <col min="5707" max="5707" width="23.28515625" style="8" bestFit="1" customWidth="1"/>
    <col min="5708" max="5719" width="11.28515625" style="8" customWidth="1"/>
    <col min="5720" max="5720" width="5.28515625" style="8" customWidth="1"/>
    <col min="5721" max="5721" width="9.5703125" style="8" customWidth="1"/>
    <col min="5722" max="5722" width="23.28515625" style="8" bestFit="1" customWidth="1"/>
    <col min="5723" max="5729" width="15.42578125" style="8" customWidth="1"/>
    <col min="5730" max="5730" width="6.7109375" style="8" customWidth="1"/>
    <col min="5731" max="5731" width="9" style="8" customWidth="1"/>
    <col min="5732" max="5732" width="23.28515625" style="8" bestFit="1" customWidth="1"/>
    <col min="5733" max="5742" width="11.140625" style="8" customWidth="1"/>
    <col min="5743" max="5743" width="6.7109375" style="8" customWidth="1"/>
    <col min="5744" max="5744" width="10.7109375" style="8" customWidth="1"/>
    <col min="5745" max="5745" width="23.28515625" style="8" bestFit="1" customWidth="1"/>
    <col min="5746" max="5756" width="13.7109375" style="8" customWidth="1"/>
    <col min="5757" max="5757" width="5" style="8" customWidth="1"/>
    <col min="5758" max="5758" width="9.28515625" style="8" customWidth="1"/>
    <col min="5759" max="5759" width="23.28515625" style="8" bestFit="1" customWidth="1"/>
    <col min="5760" max="5762" width="11.28515625" style="8" bestFit="1" customWidth="1"/>
    <col min="5763" max="5763" width="3" style="8" customWidth="1"/>
    <col min="5764" max="5764" width="8.42578125" style="8" customWidth="1"/>
    <col min="5765" max="5765" width="23.28515625" style="8" bestFit="1" customWidth="1"/>
    <col min="5766" max="5779" width="11.85546875" style="8" customWidth="1"/>
    <col min="5780" max="5780" width="15.5703125" style="8" bestFit="1" customWidth="1"/>
    <col min="5781" max="5781" width="4.28515625" style="8" customWidth="1"/>
    <col min="5782" max="5782" width="10.7109375" style="8" customWidth="1"/>
    <col min="5783" max="5783" width="23.28515625" style="8" bestFit="1" customWidth="1"/>
    <col min="5784" max="5793" width="11.28515625" style="8" customWidth="1"/>
    <col min="5794" max="5794" width="23.28515625" style="8" bestFit="1" customWidth="1"/>
    <col min="5795" max="5799" width="11.28515625" style="8" customWidth="1"/>
    <col min="5800" max="5894" width="11.5703125" style="8"/>
    <col min="5895" max="5895" width="9.85546875" style="8" customWidth="1"/>
    <col min="5896" max="5896" width="23.28515625" style="8" bestFit="1" customWidth="1"/>
    <col min="5897" max="5914" width="11" style="8" customWidth="1"/>
    <col min="5915" max="5915" width="10.140625" style="8" customWidth="1"/>
    <col min="5916" max="5916" width="23.28515625" style="8" bestFit="1" customWidth="1"/>
    <col min="5917" max="5925" width="11.5703125" style="8" customWidth="1"/>
    <col min="5926" max="5926" width="5.7109375" style="8" customWidth="1"/>
    <col min="5927" max="5927" width="11.5703125" style="8" customWidth="1"/>
    <col min="5928" max="5928" width="23.28515625" style="8" bestFit="1" customWidth="1"/>
    <col min="5929" max="5942" width="11.85546875" style="8" customWidth="1"/>
    <col min="5943" max="5943" width="9.7109375" style="8" customWidth="1"/>
    <col min="5944" max="5944" width="23.28515625" style="8" bestFit="1" customWidth="1"/>
    <col min="5945" max="5960" width="11.7109375" style="8" customWidth="1"/>
    <col min="5961" max="5961" width="4.42578125" style="8" customWidth="1"/>
    <col min="5962" max="5962" width="8.7109375" style="8" customWidth="1"/>
    <col min="5963" max="5963" width="23.28515625" style="8" bestFit="1" customWidth="1"/>
    <col min="5964" max="5975" width="11.28515625" style="8" customWidth="1"/>
    <col min="5976" max="5976" width="5.28515625" style="8" customWidth="1"/>
    <col min="5977" max="5977" width="9.5703125" style="8" customWidth="1"/>
    <col min="5978" max="5978" width="23.28515625" style="8" bestFit="1" customWidth="1"/>
    <col min="5979" max="5985" width="15.42578125" style="8" customWidth="1"/>
    <col min="5986" max="5986" width="6.7109375" style="8" customWidth="1"/>
    <col min="5987" max="5987" width="9" style="8" customWidth="1"/>
    <col min="5988" max="5988" width="23.28515625" style="8" bestFit="1" customWidth="1"/>
    <col min="5989" max="5998" width="11.140625" style="8" customWidth="1"/>
    <col min="5999" max="5999" width="6.7109375" style="8" customWidth="1"/>
    <col min="6000" max="6000" width="10.7109375" style="8" customWidth="1"/>
    <col min="6001" max="6001" width="23.28515625" style="8" bestFit="1" customWidth="1"/>
    <col min="6002" max="6012" width="13.7109375" style="8" customWidth="1"/>
    <col min="6013" max="6013" width="5" style="8" customWidth="1"/>
    <col min="6014" max="6014" width="9.28515625" style="8" customWidth="1"/>
    <col min="6015" max="6015" width="23.28515625" style="8" bestFit="1" customWidth="1"/>
    <col min="6016" max="6018" width="11.28515625" style="8" bestFit="1" customWidth="1"/>
    <col min="6019" max="6019" width="3" style="8" customWidth="1"/>
    <col min="6020" max="6020" width="8.42578125" style="8" customWidth="1"/>
    <col min="6021" max="6021" width="23.28515625" style="8" bestFit="1" customWidth="1"/>
    <col min="6022" max="6035" width="11.85546875" style="8" customWidth="1"/>
    <col min="6036" max="6036" width="15.5703125" style="8" bestFit="1" customWidth="1"/>
    <col min="6037" max="6037" width="4.28515625" style="8" customWidth="1"/>
    <col min="6038" max="6038" width="10.7109375" style="8" customWidth="1"/>
    <col min="6039" max="6039" width="23.28515625" style="8" bestFit="1" customWidth="1"/>
    <col min="6040" max="6049" width="11.28515625" style="8" customWidth="1"/>
    <col min="6050" max="6050" width="23.28515625" style="8" bestFit="1" customWidth="1"/>
    <col min="6051" max="6055" width="11.28515625" style="8" customWidth="1"/>
    <col min="6056" max="6150" width="11.5703125" style="8"/>
    <col min="6151" max="6151" width="9.85546875" style="8" customWidth="1"/>
    <col min="6152" max="6152" width="23.28515625" style="8" bestFit="1" customWidth="1"/>
    <col min="6153" max="6170" width="11" style="8" customWidth="1"/>
    <col min="6171" max="6171" width="10.140625" style="8" customWidth="1"/>
    <col min="6172" max="6172" width="23.28515625" style="8" bestFit="1" customWidth="1"/>
    <col min="6173" max="6181" width="11.5703125" style="8" customWidth="1"/>
    <col min="6182" max="6182" width="5.7109375" style="8" customWidth="1"/>
    <col min="6183" max="6183" width="11.5703125" style="8" customWidth="1"/>
    <col min="6184" max="6184" width="23.28515625" style="8" bestFit="1" customWidth="1"/>
    <col min="6185" max="6198" width="11.85546875" style="8" customWidth="1"/>
    <col min="6199" max="6199" width="9.7109375" style="8" customWidth="1"/>
    <col min="6200" max="6200" width="23.28515625" style="8" bestFit="1" customWidth="1"/>
    <col min="6201" max="6216" width="11.7109375" style="8" customWidth="1"/>
    <col min="6217" max="6217" width="4.42578125" style="8" customWidth="1"/>
    <col min="6218" max="6218" width="8.7109375" style="8" customWidth="1"/>
    <col min="6219" max="6219" width="23.28515625" style="8" bestFit="1" customWidth="1"/>
    <col min="6220" max="6231" width="11.28515625" style="8" customWidth="1"/>
    <col min="6232" max="6232" width="5.28515625" style="8" customWidth="1"/>
    <col min="6233" max="6233" width="9.5703125" style="8" customWidth="1"/>
    <col min="6234" max="6234" width="23.28515625" style="8" bestFit="1" customWidth="1"/>
    <col min="6235" max="6241" width="15.42578125" style="8" customWidth="1"/>
    <col min="6242" max="6242" width="6.7109375" style="8" customWidth="1"/>
    <col min="6243" max="6243" width="9" style="8" customWidth="1"/>
    <col min="6244" max="6244" width="23.28515625" style="8" bestFit="1" customWidth="1"/>
    <col min="6245" max="6254" width="11.140625" style="8" customWidth="1"/>
    <col min="6255" max="6255" width="6.7109375" style="8" customWidth="1"/>
    <col min="6256" max="6256" width="10.7109375" style="8" customWidth="1"/>
    <col min="6257" max="6257" width="23.28515625" style="8" bestFit="1" customWidth="1"/>
    <col min="6258" max="6268" width="13.7109375" style="8" customWidth="1"/>
    <col min="6269" max="6269" width="5" style="8" customWidth="1"/>
    <col min="6270" max="6270" width="9.28515625" style="8" customWidth="1"/>
    <col min="6271" max="6271" width="23.28515625" style="8" bestFit="1" customWidth="1"/>
    <col min="6272" max="6274" width="11.28515625" style="8" bestFit="1" customWidth="1"/>
    <col min="6275" max="6275" width="3" style="8" customWidth="1"/>
    <col min="6276" max="6276" width="8.42578125" style="8" customWidth="1"/>
    <col min="6277" max="6277" width="23.28515625" style="8" bestFit="1" customWidth="1"/>
    <col min="6278" max="6291" width="11.85546875" style="8" customWidth="1"/>
    <col min="6292" max="6292" width="15.5703125" style="8" bestFit="1" customWidth="1"/>
    <col min="6293" max="6293" width="4.28515625" style="8" customWidth="1"/>
    <col min="6294" max="6294" width="10.7109375" style="8" customWidth="1"/>
    <col min="6295" max="6295" width="23.28515625" style="8" bestFit="1" customWidth="1"/>
    <col min="6296" max="6305" width="11.28515625" style="8" customWidth="1"/>
    <col min="6306" max="6306" width="23.28515625" style="8" bestFit="1" customWidth="1"/>
    <col min="6307" max="6311" width="11.28515625" style="8" customWidth="1"/>
    <col min="6312" max="6406" width="11.5703125" style="8"/>
    <col min="6407" max="6407" width="9.85546875" style="8" customWidth="1"/>
    <col min="6408" max="6408" width="23.28515625" style="8" bestFit="1" customWidth="1"/>
    <col min="6409" max="6426" width="11" style="8" customWidth="1"/>
    <col min="6427" max="6427" width="10.140625" style="8" customWidth="1"/>
    <col min="6428" max="6428" width="23.28515625" style="8" bestFit="1" customWidth="1"/>
    <col min="6429" max="6437" width="11.5703125" style="8" customWidth="1"/>
    <col min="6438" max="6438" width="5.7109375" style="8" customWidth="1"/>
    <col min="6439" max="6439" width="11.5703125" style="8" customWidth="1"/>
    <col min="6440" max="6440" width="23.28515625" style="8" bestFit="1" customWidth="1"/>
    <col min="6441" max="6454" width="11.85546875" style="8" customWidth="1"/>
    <col min="6455" max="6455" width="9.7109375" style="8" customWidth="1"/>
    <col min="6456" max="6456" width="23.28515625" style="8" bestFit="1" customWidth="1"/>
    <col min="6457" max="6472" width="11.7109375" style="8" customWidth="1"/>
    <col min="6473" max="6473" width="4.42578125" style="8" customWidth="1"/>
    <col min="6474" max="6474" width="8.7109375" style="8" customWidth="1"/>
    <col min="6475" max="6475" width="23.28515625" style="8" bestFit="1" customWidth="1"/>
    <col min="6476" max="6487" width="11.28515625" style="8" customWidth="1"/>
    <col min="6488" max="6488" width="5.28515625" style="8" customWidth="1"/>
    <col min="6489" max="6489" width="9.5703125" style="8" customWidth="1"/>
    <col min="6490" max="6490" width="23.28515625" style="8" bestFit="1" customWidth="1"/>
    <col min="6491" max="6497" width="15.42578125" style="8" customWidth="1"/>
    <col min="6498" max="6498" width="6.7109375" style="8" customWidth="1"/>
    <col min="6499" max="6499" width="9" style="8" customWidth="1"/>
    <col min="6500" max="6500" width="23.28515625" style="8" bestFit="1" customWidth="1"/>
    <col min="6501" max="6510" width="11.140625" style="8" customWidth="1"/>
    <col min="6511" max="6511" width="6.7109375" style="8" customWidth="1"/>
    <col min="6512" max="6512" width="10.7109375" style="8" customWidth="1"/>
    <col min="6513" max="6513" width="23.28515625" style="8" bestFit="1" customWidth="1"/>
    <col min="6514" max="6524" width="13.7109375" style="8" customWidth="1"/>
    <col min="6525" max="6525" width="5" style="8" customWidth="1"/>
    <col min="6526" max="6526" width="9.28515625" style="8" customWidth="1"/>
    <col min="6527" max="6527" width="23.28515625" style="8" bestFit="1" customWidth="1"/>
    <col min="6528" max="6530" width="11.28515625" style="8" bestFit="1" customWidth="1"/>
    <col min="6531" max="6531" width="3" style="8" customWidth="1"/>
    <col min="6532" max="6532" width="8.42578125" style="8" customWidth="1"/>
    <col min="6533" max="6533" width="23.28515625" style="8" bestFit="1" customWidth="1"/>
    <col min="6534" max="6547" width="11.85546875" style="8" customWidth="1"/>
    <col min="6548" max="6548" width="15.5703125" style="8" bestFit="1" customWidth="1"/>
    <col min="6549" max="6549" width="4.28515625" style="8" customWidth="1"/>
    <col min="6550" max="6550" width="10.7109375" style="8" customWidth="1"/>
    <col min="6551" max="6551" width="23.28515625" style="8" bestFit="1" customWidth="1"/>
    <col min="6552" max="6561" width="11.28515625" style="8" customWidth="1"/>
    <col min="6562" max="6562" width="23.28515625" style="8" bestFit="1" customWidth="1"/>
    <col min="6563" max="6567" width="11.28515625" style="8" customWidth="1"/>
    <col min="6568" max="6662" width="11.5703125" style="8"/>
    <col min="6663" max="6663" width="9.85546875" style="8" customWidth="1"/>
    <col min="6664" max="6664" width="23.28515625" style="8" bestFit="1" customWidth="1"/>
    <col min="6665" max="6682" width="11" style="8" customWidth="1"/>
    <col min="6683" max="6683" width="10.140625" style="8" customWidth="1"/>
    <col min="6684" max="6684" width="23.28515625" style="8" bestFit="1" customWidth="1"/>
    <col min="6685" max="6693" width="11.5703125" style="8" customWidth="1"/>
    <col min="6694" max="6694" width="5.7109375" style="8" customWidth="1"/>
    <col min="6695" max="6695" width="11.5703125" style="8" customWidth="1"/>
    <col min="6696" max="6696" width="23.28515625" style="8" bestFit="1" customWidth="1"/>
    <col min="6697" max="6710" width="11.85546875" style="8" customWidth="1"/>
    <col min="6711" max="6711" width="9.7109375" style="8" customWidth="1"/>
    <col min="6712" max="6712" width="23.28515625" style="8" bestFit="1" customWidth="1"/>
    <col min="6713" max="6728" width="11.7109375" style="8" customWidth="1"/>
    <col min="6729" max="6729" width="4.42578125" style="8" customWidth="1"/>
    <col min="6730" max="6730" width="8.7109375" style="8" customWidth="1"/>
    <col min="6731" max="6731" width="23.28515625" style="8" bestFit="1" customWidth="1"/>
    <col min="6732" max="6743" width="11.28515625" style="8" customWidth="1"/>
    <col min="6744" max="6744" width="5.28515625" style="8" customWidth="1"/>
    <col min="6745" max="6745" width="9.5703125" style="8" customWidth="1"/>
    <col min="6746" max="6746" width="23.28515625" style="8" bestFit="1" customWidth="1"/>
    <col min="6747" max="6753" width="15.42578125" style="8" customWidth="1"/>
    <col min="6754" max="6754" width="6.7109375" style="8" customWidth="1"/>
    <col min="6755" max="6755" width="9" style="8" customWidth="1"/>
    <col min="6756" max="6756" width="23.28515625" style="8" bestFit="1" customWidth="1"/>
    <col min="6757" max="6766" width="11.140625" style="8" customWidth="1"/>
    <col min="6767" max="6767" width="6.7109375" style="8" customWidth="1"/>
    <col min="6768" max="6768" width="10.7109375" style="8" customWidth="1"/>
    <col min="6769" max="6769" width="23.28515625" style="8" bestFit="1" customWidth="1"/>
    <col min="6770" max="6780" width="13.7109375" style="8" customWidth="1"/>
    <col min="6781" max="6781" width="5" style="8" customWidth="1"/>
    <col min="6782" max="6782" width="9.28515625" style="8" customWidth="1"/>
    <col min="6783" max="6783" width="23.28515625" style="8" bestFit="1" customWidth="1"/>
    <col min="6784" max="6786" width="11.28515625" style="8" bestFit="1" customWidth="1"/>
    <col min="6787" max="6787" width="3" style="8" customWidth="1"/>
    <col min="6788" max="6788" width="8.42578125" style="8" customWidth="1"/>
    <col min="6789" max="6789" width="23.28515625" style="8" bestFit="1" customWidth="1"/>
    <col min="6790" max="6803" width="11.85546875" style="8" customWidth="1"/>
    <col min="6804" max="6804" width="15.5703125" style="8" bestFit="1" customWidth="1"/>
    <col min="6805" max="6805" width="4.28515625" style="8" customWidth="1"/>
    <col min="6806" max="6806" width="10.7109375" style="8" customWidth="1"/>
    <col min="6807" max="6807" width="23.28515625" style="8" bestFit="1" customWidth="1"/>
    <col min="6808" max="6817" width="11.28515625" style="8" customWidth="1"/>
    <col min="6818" max="6818" width="23.28515625" style="8" bestFit="1" customWidth="1"/>
    <col min="6819" max="6823" width="11.28515625" style="8" customWidth="1"/>
    <col min="6824" max="6918" width="11.5703125" style="8"/>
    <col min="6919" max="6919" width="9.85546875" style="8" customWidth="1"/>
    <col min="6920" max="6920" width="23.28515625" style="8" bestFit="1" customWidth="1"/>
    <col min="6921" max="6938" width="11" style="8" customWidth="1"/>
    <col min="6939" max="6939" width="10.140625" style="8" customWidth="1"/>
    <col min="6940" max="6940" width="23.28515625" style="8" bestFit="1" customWidth="1"/>
    <col min="6941" max="6949" width="11.5703125" style="8" customWidth="1"/>
    <col min="6950" max="6950" width="5.7109375" style="8" customWidth="1"/>
    <col min="6951" max="6951" width="11.5703125" style="8" customWidth="1"/>
    <col min="6952" max="6952" width="23.28515625" style="8" bestFit="1" customWidth="1"/>
    <col min="6953" max="6966" width="11.85546875" style="8" customWidth="1"/>
    <col min="6967" max="6967" width="9.7109375" style="8" customWidth="1"/>
    <col min="6968" max="6968" width="23.28515625" style="8" bestFit="1" customWidth="1"/>
    <col min="6969" max="6984" width="11.7109375" style="8" customWidth="1"/>
    <col min="6985" max="6985" width="4.42578125" style="8" customWidth="1"/>
    <col min="6986" max="6986" width="8.7109375" style="8" customWidth="1"/>
    <col min="6987" max="6987" width="23.28515625" style="8" bestFit="1" customWidth="1"/>
    <col min="6988" max="6999" width="11.28515625" style="8" customWidth="1"/>
    <col min="7000" max="7000" width="5.28515625" style="8" customWidth="1"/>
    <col min="7001" max="7001" width="9.5703125" style="8" customWidth="1"/>
    <col min="7002" max="7002" width="23.28515625" style="8" bestFit="1" customWidth="1"/>
    <col min="7003" max="7009" width="15.42578125" style="8" customWidth="1"/>
    <col min="7010" max="7010" width="6.7109375" style="8" customWidth="1"/>
    <col min="7011" max="7011" width="9" style="8" customWidth="1"/>
    <col min="7012" max="7012" width="23.28515625" style="8" bestFit="1" customWidth="1"/>
    <col min="7013" max="7022" width="11.140625" style="8" customWidth="1"/>
    <col min="7023" max="7023" width="6.7109375" style="8" customWidth="1"/>
    <col min="7024" max="7024" width="10.7109375" style="8" customWidth="1"/>
    <col min="7025" max="7025" width="23.28515625" style="8" bestFit="1" customWidth="1"/>
    <col min="7026" max="7036" width="13.7109375" style="8" customWidth="1"/>
    <col min="7037" max="7037" width="5" style="8" customWidth="1"/>
    <col min="7038" max="7038" width="9.28515625" style="8" customWidth="1"/>
    <col min="7039" max="7039" width="23.28515625" style="8" bestFit="1" customWidth="1"/>
    <col min="7040" max="7042" width="11.28515625" style="8" bestFit="1" customWidth="1"/>
    <col min="7043" max="7043" width="3" style="8" customWidth="1"/>
    <col min="7044" max="7044" width="8.42578125" style="8" customWidth="1"/>
    <col min="7045" max="7045" width="23.28515625" style="8" bestFit="1" customWidth="1"/>
    <col min="7046" max="7059" width="11.85546875" style="8" customWidth="1"/>
    <col min="7060" max="7060" width="15.5703125" style="8" bestFit="1" customWidth="1"/>
    <col min="7061" max="7061" width="4.28515625" style="8" customWidth="1"/>
    <col min="7062" max="7062" width="10.7109375" style="8" customWidth="1"/>
    <col min="7063" max="7063" width="23.28515625" style="8" bestFit="1" customWidth="1"/>
    <col min="7064" max="7073" width="11.28515625" style="8" customWidth="1"/>
    <col min="7074" max="7074" width="23.28515625" style="8" bestFit="1" customWidth="1"/>
    <col min="7075" max="7079" width="11.28515625" style="8" customWidth="1"/>
    <col min="7080" max="7174" width="11.5703125" style="8"/>
    <col min="7175" max="7175" width="9.85546875" style="8" customWidth="1"/>
    <col min="7176" max="7176" width="23.28515625" style="8" bestFit="1" customWidth="1"/>
    <col min="7177" max="7194" width="11" style="8" customWidth="1"/>
    <col min="7195" max="7195" width="10.140625" style="8" customWidth="1"/>
    <col min="7196" max="7196" width="23.28515625" style="8" bestFit="1" customWidth="1"/>
    <col min="7197" max="7205" width="11.5703125" style="8" customWidth="1"/>
    <col min="7206" max="7206" width="5.7109375" style="8" customWidth="1"/>
    <col min="7207" max="7207" width="11.5703125" style="8" customWidth="1"/>
    <col min="7208" max="7208" width="23.28515625" style="8" bestFit="1" customWidth="1"/>
    <col min="7209" max="7222" width="11.85546875" style="8" customWidth="1"/>
    <col min="7223" max="7223" width="9.7109375" style="8" customWidth="1"/>
    <col min="7224" max="7224" width="23.28515625" style="8" bestFit="1" customWidth="1"/>
    <col min="7225" max="7240" width="11.7109375" style="8" customWidth="1"/>
    <col min="7241" max="7241" width="4.42578125" style="8" customWidth="1"/>
    <col min="7242" max="7242" width="8.7109375" style="8" customWidth="1"/>
    <col min="7243" max="7243" width="23.28515625" style="8" bestFit="1" customWidth="1"/>
    <col min="7244" max="7255" width="11.28515625" style="8" customWidth="1"/>
    <col min="7256" max="7256" width="5.28515625" style="8" customWidth="1"/>
    <col min="7257" max="7257" width="9.5703125" style="8" customWidth="1"/>
    <col min="7258" max="7258" width="23.28515625" style="8" bestFit="1" customWidth="1"/>
    <col min="7259" max="7265" width="15.42578125" style="8" customWidth="1"/>
    <col min="7266" max="7266" width="6.7109375" style="8" customWidth="1"/>
    <col min="7267" max="7267" width="9" style="8" customWidth="1"/>
    <col min="7268" max="7268" width="23.28515625" style="8" bestFit="1" customWidth="1"/>
    <col min="7269" max="7278" width="11.140625" style="8" customWidth="1"/>
    <col min="7279" max="7279" width="6.7109375" style="8" customWidth="1"/>
    <col min="7280" max="7280" width="10.7109375" style="8" customWidth="1"/>
    <col min="7281" max="7281" width="23.28515625" style="8" bestFit="1" customWidth="1"/>
    <col min="7282" max="7292" width="13.7109375" style="8" customWidth="1"/>
    <col min="7293" max="7293" width="5" style="8" customWidth="1"/>
    <col min="7294" max="7294" width="9.28515625" style="8" customWidth="1"/>
    <col min="7295" max="7295" width="23.28515625" style="8" bestFit="1" customWidth="1"/>
    <col min="7296" max="7298" width="11.28515625" style="8" bestFit="1" customWidth="1"/>
    <col min="7299" max="7299" width="3" style="8" customWidth="1"/>
    <col min="7300" max="7300" width="8.42578125" style="8" customWidth="1"/>
    <col min="7301" max="7301" width="23.28515625" style="8" bestFit="1" customWidth="1"/>
    <col min="7302" max="7315" width="11.85546875" style="8" customWidth="1"/>
    <col min="7316" max="7316" width="15.5703125" style="8" bestFit="1" customWidth="1"/>
    <col min="7317" max="7317" width="4.28515625" style="8" customWidth="1"/>
    <col min="7318" max="7318" width="10.7109375" style="8" customWidth="1"/>
    <col min="7319" max="7319" width="23.28515625" style="8" bestFit="1" customWidth="1"/>
    <col min="7320" max="7329" width="11.28515625" style="8" customWidth="1"/>
    <col min="7330" max="7330" width="23.28515625" style="8" bestFit="1" customWidth="1"/>
    <col min="7331" max="7335" width="11.28515625" style="8" customWidth="1"/>
    <col min="7336" max="7430" width="11.5703125" style="8"/>
    <col min="7431" max="7431" width="9.85546875" style="8" customWidth="1"/>
    <col min="7432" max="7432" width="23.28515625" style="8" bestFit="1" customWidth="1"/>
    <col min="7433" max="7450" width="11" style="8" customWidth="1"/>
    <col min="7451" max="7451" width="10.140625" style="8" customWidth="1"/>
    <col min="7452" max="7452" width="23.28515625" style="8" bestFit="1" customWidth="1"/>
    <col min="7453" max="7461" width="11.5703125" style="8" customWidth="1"/>
    <col min="7462" max="7462" width="5.7109375" style="8" customWidth="1"/>
    <col min="7463" max="7463" width="11.5703125" style="8" customWidth="1"/>
    <col min="7464" max="7464" width="23.28515625" style="8" bestFit="1" customWidth="1"/>
    <col min="7465" max="7478" width="11.85546875" style="8" customWidth="1"/>
    <col min="7479" max="7479" width="9.7109375" style="8" customWidth="1"/>
    <col min="7480" max="7480" width="23.28515625" style="8" bestFit="1" customWidth="1"/>
    <col min="7481" max="7496" width="11.7109375" style="8" customWidth="1"/>
    <col min="7497" max="7497" width="4.42578125" style="8" customWidth="1"/>
    <col min="7498" max="7498" width="8.7109375" style="8" customWidth="1"/>
    <col min="7499" max="7499" width="23.28515625" style="8" bestFit="1" customWidth="1"/>
    <col min="7500" max="7511" width="11.28515625" style="8" customWidth="1"/>
    <col min="7512" max="7512" width="5.28515625" style="8" customWidth="1"/>
    <col min="7513" max="7513" width="9.5703125" style="8" customWidth="1"/>
    <col min="7514" max="7514" width="23.28515625" style="8" bestFit="1" customWidth="1"/>
    <col min="7515" max="7521" width="15.42578125" style="8" customWidth="1"/>
    <col min="7522" max="7522" width="6.7109375" style="8" customWidth="1"/>
    <col min="7523" max="7523" width="9" style="8" customWidth="1"/>
    <col min="7524" max="7524" width="23.28515625" style="8" bestFit="1" customWidth="1"/>
    <col min="7525" max="7534" width="11.140625" style="8" customWidth="1"/>
    <col min="7535" max="7535" width="6.7109375" style="8" customWidth="1"/>
    <col min="7536" max="7536" width="10.7109375" style="8" customWidth="1"/>
    <col min="7537" max="7537" width="23.28515625" style="8" bestFit="1" customWidth="1"/>
    <col min="7538" max="7548" width="13.7109375" style="8" customWidth="1"/>
    <col min="7549" max="7549" width="5" style="8" customWidth="1"/>
    <col min="7550" max="7550" width="9.28515625" style="8" customWidth="1"/>
    <col min="7551" max="7551" width="23.28515625" style="8" bestFit="1" customWidth="1"/>
    <col min="7552" max="7554" width="11.28515625" style="8" bestFit="1" customWidth="1"/>
    <col min="7555" max="7555" width="3" style="8" customWidth="1"/>
    <col min="7556" max="7556" width="8.42578125" style="8" customWidth="1"/>
    <col min="7557" max="7557" width="23.28515625" style="8" bestFit="1" customWidth="1"/>
    <col min="7558" max="7571" width="11.85546875" style="8" customWidth="1"/>
    <col min="7572" max="7572" width="15.5703125" style="8" bestFit="1" customWidth="1"/>
    <col min="7573" max="7573" width="4.28515625" style="8" customWidth="1"/>
    <col min="7574" max="7574" width="10.7109375" style="8" customWidth="1"/>
    <col min="7575" max="7575" width="23.28515625" style="8" bestFit="1" customWidth="1"/>
    <col min="7576" max="7585" width="11.28515625" style="8" customWidth="1"/>
    <col min="7586" max="7586" width="23.28515625" style="8" bestFit="1" customWidth="1"/>
    <col min="7587" max="7591" width="11.28515625" style="8" customWidth="1"/>
    <col min="7592" max="7686" width="11.5703125" style="8"/>
    <col min="7687" max="7687" width="9.85546875" style="8" customWidth="1"/>
    <col min="7688" max="7688" width="23.28515625" style="8" bestFit="1" customWidth="1"/>
    <col min="7689" max="7706" width="11" style="8" customWidth="1"/>
    <col min="7707" max="7707" width="10.140625" style="8" customWidth="1"/>
    <col min="7708" max="7708" width="23.28515625" style="8" bestFit="1" customWidth="1"/>
    <col min="7709" max="7717" width="11.5703125" style="8" customWidth="1"/>
    <col min="7718" max="7718" width="5.7109375" style="8" customWidth="1"/>
    <col min="7719" max="7719" width="11.5703125" style="8" customWidth="1"/>
    <col min="7720" max="7720" width="23.28515625" style="8" bestFit="1" customWidth="1"/>
    <col min="7721" max="7734" width="11.85546875" style="8" customWidth="1"/>
    <col min="7735" max="7735" width="9.7109375" style="8" customWidth="1"/>
    <col min="7736" max="7736" width="23.28515625" style="8" bestFit="1" customWidth="1"/>
    <col min="7737" max="7752" width="11.7109375" style="8" customWidth="1"/>
    <col min="7753" max="7753" width="4.42578125" style="8" customWidth="1"/>
    <col min="7754" max="7754" width="8.7109375" style="8" customWidth="1"/>
    <col min="7755" max="7755" width="23.28515625" style="8" bestFit="1" customWidth="1"/>
    <col min="7756" max="7767" width="11.28515625" style="8" customWidth="1"/>
    <col min="7768" max="7768" width="5.28515625" style="8" customWidth="1"/>
    <col min="7769" max="7769" width="9.5703125" style="8" customWidth="1"/>
    <col min="7770" max="7770" width="23.28515625" style="8" bestFit="1" customWidth="1"/>
    <col min="7771" max="7777" width="15.42578125" style="8" customWidth="1"/>
    <col min="7778" max="7778" width="6.7109375" style="8" customWidth="1"/>
    <col min="7779" max="7779" width="9" style="8" customWidth="1"/>
    <col min="7780" max="7780" width="23.28515625" style="8" bestFit="1" customWidth="1"/>
    <col min="7781" max="7790" width="11.140625" style="8" customWidth="1"/>
    <col min="7791" max="7791" width="6.7109375" style="8" customWidth="1"/>
    <col min="7792" max="7792" width="10.7109375" style="8" customWidth="1"/>
    <col min="7793" max="7793" width="23.28515625" style="8" bestFit="1" customWidth="1"/>
    <col min="7794" max="7804" width="13.7109375" style="8" customWidth="1"/>
    <col min="7805" max="7805" width="5" style="8" customWidth="1"/>
    <col min="7806" max="7806" width="9.28515625" style="8" customWidth="1"/>
    <col min="7807" max="7807" width="23.28515625" style="8" bestFit="1" customWidth="1"/>
    <col min="7808" max="7810" width="11.28515625" style="8" bestFit="1" customWidth="1"/>
    <col min="7811" max="7811" width="3" style="8" customWidth="1"/>
    <col min="7812" max="7812" width="8.42578125" style="8" customWidth="1"/>
    <col min="7813" max="7813" width="23.28515625" style="8" bestFit="1" customWidth="1"/>
    <col min="7814" max="7827" width="11.85546875" style="8" customWidth="1"/>
    <col min="7828" max="7828" width="15.5703125" style="8" bestFit="1" customWidth="1"/>
    <col min="7829" max="7829" width="4.28515625" style="8" customWidth="1"/>
    <col min="7830" max="7830" width="10.7109375" style="8" customWidth="1"/>
    <col min="7831" max="7831" width="23.28515625" style="8" bestFit="1" customWidth="1"/>
    <col min="7832" max="7841" width="11.28515625" style="8" customWidth="1"/>
    <col min="7842" max="7842" width="23.28515625" style="8" bestFit="1" customWidth="1"/>
    <col min="7843" max="7847" width="11.28515625" style="8" customWidth="1"/>
    <col min="7848" max="7942" width="11.5703125" style="8"/>
    <col min="7943" max="7943" width="9.85546875" style="8" customWidth="1"/>
    <col min="7944" max="7944" width="23.28515625" style="8" bestFit="1" customWidth="1"/>
    <col min="7945" max="7962" width="11" style="8" customWidth="1"/>
    <col min="7963" max="7963" width="10.140625" style="8" customWidth="1"/>
    <col min="7964" max="7964" width="23.28515625" style="8" bestFit="1" customWidth="1"/>
    <col min="7965" max="7973" width="11.5703125" style="8" customWidth="1"/>
    <col min="7974" max="7974" width="5.7109375" style="8" customWidth="1"/>
    <col min="7975" max="7975" width="11.5703125" style="8" customWidth="1"/>
    <col min="7976" max="7976" width="23.28515625" style="8" bestFit="1" customWidth="1"/>
    <col min="7977" max="7990" width="11.85546875" style="8" customWidth="1"/>
    <col min="7991" max="7991" width="9.7109375" style="8" customWidth="1"/>
    <col min="7992" max="7992" width="23.28515625" style="8" bestFit="1" customWidth="1"/>
    <col min="7993" max="8008" width="11.7109375" style="8" customWidth="1"/>
    <col min="8009" max="8009" width="4.42578125" style="8" customWidth="1"/>
    <col min="8010" max="8010" width="8.7109375" style="8" customWidth="1"/>
    <col min="8011" max="8011" width="23.28515625" style="8" bestFit="1" customWidth="1"/>
    <col min="8012" max="8023" width="11.28515625" style="8" customWidth="1"/>
    <col min="8024" max="8024" width="5.28515625" style="8" customWidth="1"/>
    <col min="8025" max="8025" width="9.5703125" style="8" customWidth="1"/>
    <col min="8026" max="8026" width="23.28515625" style="8" bestFit="1" customWidth="1"/>
    <col min="8027" max="8033" width="15.42578125" style="8" customWidth="1"/>
    <col min="8034" max="8034" width="6.7109375" style="8" customWidth="1"/>
    <col min="8035" max="8035" width="9" style="8" customWidth="1"/>
    <col min="8036" max="8036" width="23.28515625" style="8" bestFit="1" customWidth="1"/>
    <col min="8037" max="8046" width="11.140625" style="8" customWidth="1"/>
    <col min="8047" max="8047" width="6.7109375" style="8" customWidth="1"/>
    <col min="8048" max="8048" width="10.7109375" style="8" customWidth="1"/>
    <col min="8049" max="8049" width="23.28515625" style="8" bestFit="1" customWidth="1"/>
    <col min="8050" max="8060" width="13.7109375" style="8" customWidth="1"/>
    <col min="8061" max="8061" width="5" style="8" customWidth="1"/>
    <col min="8062" max="8062" width="9.28515625" style="8" customWidth="1"/>
    <col min="8063" max="8063" width="23.28515625" style="8" bestFit="1" customWidth="1"/>
    <col min="8064" max="8066" width="11.28515625" style="8" bestFit="1" customWidth="1"/>
    <col min="8067" max="8067" width="3" style="8" customWidth="1"/>
    <col min="8068" max="8068" width="8.42578125" style="8" customWidth="1"/>
    <col min="8069" max="8069" width="23.28515625" style="8" bestFit="1" customWidth="1"/>
    <col min="8070" max="8083" width="11.85546875" style="8" customWidth="1"/>
    <col min="8084" max="8084" width="15.5703125" style="8" bestFit="1" customWidth="1"/>
    <col min="8085" max="8085" width="4.28515625" style="8" customWidth="1"/>
    <col min="8086" max="8086" width="10.7109375" style="8" customWidth="1"/>
    <col min="8087" max="8087" width="23.28515625" style="8" bestFit="1" customWidth="1"/>
    <col min="8088" max="8097" width="11.28515625" style="8" customWidth="1"/>
    <col min="8098" max="8098" width="23.28515625" style="8" bestFit="1" customWidth="1"/>
    <col min="8099" max="8103" width="11.28515625" style="8" customWidth="1"/>
    <col min="8104" max="8198" width="11.5703125" style="8"/>
    <col min="8199" max="8199" width="9.85546875" style="8" customWidth="1"/>
    <col min="8200" max="8200" width="23.28515625" style="8" bestFit="1" customWidth="1"/>
    <col min="8201" max="8218" width="11" style="8" customWidth="1"/>
    <col min="8219" max="8219" width="10.140625" style="8" customWidth="1"/>
    <col min="8220" max="8220" width="23.28515625" style="8" bestFit="1" customWidth="1"/>
    <col min="8221" max="8229" width="11.5703125" style="8" customWidth="1"/>
    <col min="8230" max="8230" width="5.7109375" style="8" customWidth="1"/>
    <col min="8231" max="8231" width="11.5703125" style="8" customWidth="1"/>
    <col min="8232" max="8232" width="23.28515625" style="8" bestFit="1" customWidth="1"/>
    <col min="8233" max="8246" width="11.85546875" style="8" customWidth="1"/>
    <col min="8247" max="8247" width="9.7109375" style="8" customWidth="1"/>
    <col min="8248" max="8248" width="23.28515625" style="8" bestFit="1" customWidth="1"/>
    <col min="8249" max="8264" width="11.7109375" style="8" customWidth="1"/>
    <col min="8265" max="8265" width="4.42578125" style="8" customWidth="1"/>
    <col min="8266" max="8266" width="8.7109375" style="8" customWidth="1"/>
    <col min="8267" max="8267" width="23.28515625" style="8" bestFit="1" customWidth="1"/>
    <col min="8268" max="8279" width="11.28515625" style="8" customWidth="1"/>
    <col min="8280" max="8280" width="5.28515625" style="8" customWidth="1"/>
    <col min="8281" max="8281" width="9.5703125" style="8" customWidth="1"/>
    <col min="8282" max="8282" width="23.28515625" style="8" bestFit="1" customWidth="1"/>
    <col min="8283" max="8289" width="15.42578125" style="8" customWidth="1"/>
    <col min="8290" max="8290" width="6.7109375" style="8" customWidth="1"/>
    <col min="8291" max="8291" width="9" style="8" customWidth="1"/>
    <col min="8292" max="8292" width="23.28515625" style="8" bestFit="1" customWidth="1"/>
    <col min="8293" max="8302" width="11.140625" style="8" customWidth="1"/>
    <col min="8303" max="8303" width="6.7109375" style="8" customWidth="1"/>
    <col min="8304" max="8304" width="10.7109375" style="8" customWidth="1"/>
    <col min="8305" max="8305" width="23.28515625" style="8" bestFit="1" customWidth="1"/>
    <col min="8306" max="8316" width="13.7109375" style="8" customWidth="1"/>
    <col min="8317" max="8317" width="5" style="8" customWidth="1"/>
    <col min="8318" max="8318" width="9.28515625" style="8" customWidth="1"/>
    <col min="8319" max="8319" width="23.28515625" style="8" bestFit="1" customWidth="1"/>
    <col min="8320" max="8322" width="11.28515625" style="8" bestFit="1" customWidth="1"/>
    <col min="8323" max="8323" width="3" style="8" customWidth="1"/>
    <col min="8324" max="8324" width="8.42578125" style="8" customWidth="1"/>
    <col min="8325" max="8325" width="23.28515625" style="8" bestFit="1" customWidth="1"/>
    <col min="8326" max="8339" width="11.85546875" style="8" customWidth="1"/>
    <col min="8340" max="8340" width="15.5703125" style="8" bestFit="1" customWidth="1"/>
    <col min="8341" max="8341" width="4.28515625" style="8" customWidth="1"/>
    <col min="8342" max="8342" width="10.7109375" style="8" customWidth="1"/>
    <col min="8343" max="8343" width="23.28515625" style="8" bestFit="1" customWidth="1"/>
    <col min="8344" max="8353" width="11.28515625" style="8" customWidth="1"/>
    <col min="8354" max="8354" width="23.28515625" style="8" bestFit="1" customWidth="1"/>
    <col min="8355" max="8359" width="11.28515625" style="8" customWidth="1"/>
    <col min="8360" max="8454" width="11.5703125" style="8"/>
    <col min="8455" max="8455" width="9.85546875" style="8" customWidth="1"/>
    <col min="8456" max="8456" width="23.28515625" style="8" bestFit="1" customWidth="1"/>
    <col min="8457" max="8474" width="11" style="8" customWidth="1"/>
    <col min="8475" max="8475" width="10.140625" style="8" customWidth="1"/>
    <col min="8476" max="8476" width="23.28515625" style="8" bestFit="1" customWidth="1"/>
    <col min="8477" max="8485" width="11.5703125" style="8" customWidth="1"/>
    <col min="8486" max="8486" width="5.7109375" style="8" customWidth="1"/>
    <col min="8487" max="8487" width="11.5703125" style="8" customWidth="1"/>
    <col min="8488" max="8488" width="23.28515625" style="8" bestFit="1" customWidth="1"/>
    <col min="8489" max="8502" width="11.85546875" style="8" customWidth="1"/>
    <col min="8503" max="8503" width="9.7109375" style="8" customWidth="1"/>
    <col min="8504" max="8504" width="23.28515625" style="8" bestFit="1" customWidth="1"/>
    <col min="8505" max="8520" width="11.7109375" style="8" customWidth="1"/>
    <col min="8521" max="8521" width="4.42578125" style="8" customWidth="1"/>
    <col min="8522" max="8522" width="8.7109375" style="8" customWidth="1"/>
    <col min="8523" max="8523" width="23.28515625" style="8" bestFit="1" customWidth="1"/>
    <col min="8524" max="8535" width="11.28515625" style="8" customWidth="1"/>
    <col min="8536" max="8536" width="5.28515625" style="8" customWidth="1"/>
    <col min="8537" max="8537" width="9.5703125" style="8" customWidth="1"/>
    <col min="8538" max="8538" width="23.28515625" style="8" bestFit="1" customWidth="1"/>
    <col min="8539" max="8545" width="15.42578125" style="8" customWidth="1"/>
    <col min="8546" max="8546" width="6.7109375" style="8" customWidth="1"/>
    <col min="8547" max="8547" width="9" style="8" customWidth="1"/>
    <col min="8548" max="8548" width="23.28515625" style="8" bestFit="1" customWidth="1"/>
    <col min="8549" max="8558" width="11.140625" style="8" customWidth="1"/>
    <col min="8559" max="8559" width="6.7109375" style="8" customWidth="1"/>
    <col min="8560" max="8560" width="10.7109375" style="8" customWidth="1"/>
    <col min="8561" max="8561" width="23.28515625" style="8" bestFit="1" customWidth="1"/>
    <col min="8562" max="8572" width="13.7109375" style="8" customWidth="1"/>
    <col min="8573" max="8573" width="5" style="8" customWidth="1"/>
    <col min="8574" max="8574" width="9.28515625" style="8" customWidth="1"/>
    <col min="8575" max="8575" width="23.28515625" style="8" bestFit="1" customWidth="1"/>
    <col min="8576" max="8578" width="11.28515625" style="8" bestFit="1" customWidth="1"/>
    <col min="8579" max="8579" width="3" style="8" customWidth="1"/>
    <col min="8580" max="8580" width="8.42578125" style="8" customWidth="1"/>
    <col min="8581" max="8581" width="23.28515625" style="8" bestFit="1" customWidth="1"/>
    <col min="8582" max="8595" width="11.85546875" style="8" customWidth="1"/>
    <col min="8596" max="8596" width="15.5703125" style="8" bestFit="1" customWidth="1"/>
    <col min="8597" max="8597" width="4.28515625" style="8" customWidth="1"/>
    <col min="8598" max="8598" width="10.7109375" style="8" customWidth="1"/>
    <col min="8599" max="8599" width="23.28515625" style="8" bestFit="1" customWidth="1"/>
    <col min="8600" max="8609" width="11.28515625" style="8" customWidth="1"/>
    <col min="8610" max="8610" width="23.28515625" style="8" bestFit="1" customWidth="1"/>
    <col min="8611" max="8615" width="11.28515625" style="8" customWidth="1"/>
    <col min="8616" max="8710" width="11.5703125" style="8"/>
    <col min="8711" max="8711" width="9.85546875" style="8" customWidth="1"/>
    <col min="8712" max="8712" width="23.28515625" style="8" bestFit="1" customWidth="1"/>
    <col min="8713" max="8730" width="11" style="8" customWidth="1"/>
    <col min="8731" max="8731" width="10.140625" style="8" customWidth="1"/>
    <col min="8732" max="8732" width="23.28515625" style="8" bestFit="1" customWidth="1"/>
    <col min="8733" max="8741" width="11.5703125" style="8" customWidth="1"/>
    <col min="8742" max="8742" width="5.7109375" style="8" customWidth="1"/>
    <col min="8743" max="8743" width="11.5703125" style="8" customWidth="1"/>
    <col min="8744" max="8744" width="23.28515625" style="8" bestFit="1" customWidth="1"/>
    <col min="8745" max="8758" width="11.85546875" style="8" customWidth="1"/>
    <col min="8759" max="8759" width="9.7109375" style="8" customWidth="1"/>
    <col min="8760" max="8760" width="23.28515625" style="8" bestFit="1" customWidth="1"/>
    <col min="8761" max="8776" width="11.7109375" style="8" customWidth="1"/>
    <col min="8777" max="8777" width="4.42578125" style="8" customWidth="1"/>
    <col min="8778" max="8778" width="8.7109375" style="8" customWidth="1"/>
    <col min="8779" max="8779" width="23.28515625" style="8" bestFit="1" customWidth="1"/>
    <col min="8780" max="8791" width="11.28515625" style="8" customWidth="1"/>
    <col min="8792" max="8792" width="5.28515625" style="8" customWidth="1"/>
    <col min="8793" max="8793" width="9.5703125" style="8" customWidth="1"/>
    <col min="8794" max="8794" width="23.28515625" style="8" bestFit="1" customWidth="1"/>
    <col min="8795" max="8801" width="15.42578125" style="8" customWidth="1"/>
    <col min="8802" max="8802" width="6.7109375" style="8" customWidth="1"/>
    <col min="8803" max="8803" width="9" style="8" customWidth="1"/>
    <col min="8804" max="8804" width="23.28515625" style="8" bestFit="1" customWidth="1"/>
    <col min="8805" max="8814" width="11.140625" style="8" customWidth="1"/>
    <col min="8815" max="8815" width="6.7109375" style="8" customWidth="1"/>
    <col min="8816" max="8816" width="10.7109375" style="8" customWidth="1"/>
    <col min="8817" max="8817" width="23.28515625" style="8" bestFit="1" customWidth="1"/>
    <col min="8818" max="8828" width="13.7109375" style="8" customWidth="1"/>
    <col min="8829" max="8829" width="5" style="8" customWidth="1"/>
    <col min="8830" max="8830" width="9.28515625" style="8" customWidth="1"/>
    <col min="8831" max="8831" width="23.28515625" style="8" bestFit="1" customWidth="1"/>
    <col min="8832" max="8834" width="11.28515625" style="8" bestFit="1" customWidth="1"/>
    <col min="8835" max="8835" width="3" style="8" customWidth="1"/>
    <col min="8836" max="8836" width="8.42578125" style="8" customWidth="1"/>
    <col min="8837" max="8837" width="23.28515625" style="8" bestFit="1" customWidth="1"/>
    <col min="8838" max="8851" width="11.85546875" style="8" customWidth="1"/>
    <col min="8852" max="8852" width="15.5703125" style="8" bestFit="1" customWidth="1"/>
    <col min="8853" max="8853" width="4.28515625" style="8" customWidth="1"/>
    <col min="8854" max="8854" width="10.7109375" style="8" customWidth="1"/>
    <col min="8855" max="8855" width="23.28515625" style="8" bestFit="1" customWidth="1"/>
    <col min="8856" max="8865" width="11.28515625" style="8" customWidth="1"/>
    <col min="8866" max="8866" width="23.28515625" style="8" bestFit="1" customWidth="1"/>
    <col min="8867" max="8871" width="11.28515625" style="8" customWidth="1"/>
    <col min="8872" max="8966" width="11.5703125" style="8"/>
    <col min="8967" max="8967" width="9.85546875" style="8" customWidth="1"/>
    <col min="8968" max="8968" width="23.28515625" style="8" bestFit="1" customWidth="1"/>
    <col min="8969" max="8986" width="11" style="8" customWidth="1"/>
    <col min="8987" max="8987" width="10.140625" style="8" customWidth="1"/>
    <col min="8988" max="8988" width="23.28515625" style="8" bestFit="1" customWidth="1"/>
    <col min="8989" max="8997" width="11.5703125" style="8" customWidth="1"/>
    <col min="8998" max="8998" width="5.7109375" style="8" customWidth="1"/>
    <col min="8999" max="8999" width="11.5703125" style="8" customWidth="1"/>
    <col min="9000" max="9000" width="23.28515625" style="8" bestFit="1" customWidth="1"/>
    <col min="9001" max="9014" width="11.85546875" style="8" customWidth="1"/>
    <col min="9015" max="9015" width="9.7109375" style="8" customWidth="1"/>
    <col min="9016" max="9016" width="23.28515625" style="8" bestFit="1" customWidth="1"/>
    <col min="9017" max="9032" width="11.7109375" style="8" customWidth="1"/>
    <col min="9033" max="9033" width="4.42578125" style="8" customWidth="1"/>
    <col min="9034" max="9034" width="8.7109375" style="8" customWidth="1"/>
    <col min="9035" max="9035" width="23.28515625" style="8" bestFit="1" customWidth="1"/>
    <col min="9036" max="9047" width="11.28515625" style="8" customWidth="1"/>
    <col min="9048" max="9048" width="5.28515625" style="8" customWidth="1"/>
    <col min="9049" max="9049" width="9.5703125" style="8" customWidth="1"/>
    <col min="9050" max="9050" width="23.28515625" style="8" bestFit="1" customWidth="1"/>
    <col min="9051" max="9057" width="15.42578125" style="8" customWidth="1"/>
    <col min="9058" max="9058" width="6.7109375" style="8" customWidth="1"/>
    <col min="9059" max="9059" width="9" style="8" customWidth="1"/>
    <col min="9060" max="9060" width="23.28515625" style="8" bestFit="1" customWidth="1"/>
    <col min="9061" max="9070" width="11.140625" style="8" customWidth="1"/>
    <col min="9071" max="9071" width="6.7109375" style="8" customWidth="1"/>
    <col min="9072" max="9072" width="10.7109375" style="8" customWidth="1"/>
    <col min="9073" max="9073" width="23.28515625" style="8" bestFit="1" customWidth="1"/>
    <col min="9074" max="9084" width="13.7109375" style="8" customWidth="1"/>
    <col min="9085" max="9085" width="5" style="8" customWidth="1"/>
    <col min="9086" max="9086" width="9.28515625" style="8" customWidth="1"/>
    <col min="9087" max="9087" width="23.28515625" style="8" bestFit="1" customWidth="1"/>
    <col min="9088" max="9090" width="11.28515625" style="8" bestFit="1" customWidth="1"/>
    <col min="9091" max="9091" width="3" style="8" customWidth="1"/>
    <col min="9092" max="9092" width="8.42578125" style="8" customWidth="1"/>
    <col min="9093" max="9093" width="23.28515625" style="8" bestFit="1" customWidth="1"/>
    <col min="9094" max="9107" width="11.85546875" style="8" customWidth="1"/>
    <col min="9108" max="9108" width="15.5703125" style="8" bestFit="1" customWidth="1"/>
    <col min="9109" max="9109" width="4.28515625" style="8" customWidth="1"/>
    <col min="9110" max="9110" width="10.7109375" style="8" customWidth="1"/>
    <col min="9111" max="9111" width="23.28515625" style="8" bestFit="1" customWidth="1"/>
    <col min="9112" max="9121" width="11.28515625" style="8" customWidth="1"/>
    <col min="9122" max="9122" width="23.28515625" style="8" bestFit="1" customWidth="1"/>
    <col min="9123" max="9127" width="11.28515625" style="8" customWidth="1"/>
    <col min="9128" max="9222" width="11.5703125" style="8"/>
    <col min="9223" max="9223" width="9.85546875" style="8" customWidth="1"/>
    <col min="9224" max="9224" width="23.28515625" style="8" bestFit="1" customWidth="1"/>
    <col min="9225" max="9242" width="11" style="8" customWidth="1"/>
    <col min="9243" max="9243" width="10.140625" style="8" customWidth="1"/>
    <col min="9244" max="9244" width="23.28515625" style="8" bestFit="1" customWidth="1"/>
    <col min="9245" max="9253" width="11.5703125" style="8" customWidth="1"/>
    <col min="9254" max="9254" width="5.7109375" style="8" customWidth="1"/>
    <col min="9255" max="9255" width="11.5703125" style="8" customWidth="1"/>
    <col min="9256" max="9256" width="23.28515625" style="8" bestFit="1" customWidth="1"/>
    <col min="9257" max="9270" width="11.85546875" style="8" customWidth="1"/>
    <col min="9271" max="9271" width="9.7109375" style="8" customWidth="1"/>
    <col min="9272" max="9272" width="23.28515625" style="8" bestFit="1" customWidth="1"/>
    <col min="9273" max="9288" width="11.7109375" style="8" customWidth="1"/>
    <col min="9289" max="9289" width="4.42578125" style="8" customWidth="1"/>
    <col min="9290" max="9290" width="8.7109375" style="8" customWidth="1"/>
    <col min="9291" max="9291" width="23.28515625" style="8" bestFit="1" customWidth="1"/>
    <col min="9292" max="9303" width="11.28515625" style="8" customWidth="1"/>
    <col min="9304" max="9304" width="5.28515625" style="8" customWidth="1"/>
    <col min="9305" max="9305" width="9.5703125" style="8" customWidth="1"/>
    <col min="9306" max="9306" width="23.28515625" style="8" bestFit="1" customWidth="1"/>
    <col min="9307" max="9313" width="15.42578125" style="8" customWidth="1"/>
    <col min="9314" max="9314" width="6.7109375" style="8" customWidth="1"/>
    <col min="9315" max="9315" width="9" style="8" customWidth="1"/>
    <col min="9316" max="9316" width="23.28515625" style="8" bestFit="1" customWidth="1"/>
    <col min="9317" max="9326" width="11.140625" style="8" customWidth="1"/>
    <col min="9327" max="9327" width="6.7109375" style="8" customWidth="1"/>
    <col min="9328" max="9328" width="10.7109375" style="8" customWidth="1"/>
    <col min="9329" max="9329" width="23.28515625" style="8" bestFit="1" customWidth="1"/>
    <col min="9330" max="9340" width="13.7109375" style="8" customWidth="1"/>
    <col min="9341" max="9341" width="5" style="8" customWidth="1"/>
    <col min="9342" max="9342" width="9.28515625" style="8" customWidth="1"/>
    <col min="9343" max="9343" width="23.28515625" style="8" bestFit="1" customWidth="1"/>
    <col min="9344" max="9346" width="11.28515625" style="8" bestFit="1" customWidth="1"/>
    <col min="9347" max="9347" width="3" style="8" customWidth="1"/>
    <col min="9348" max="9348" width="8.42578125" style="8" customWidth="1"/>
    <col min="9349" max="9349" width="23.28515625" style="8" bestFit="1" customWidth="1"/>
    <col min="9350" max="9363" width="11.85546875" style="8" customWidth="1"/>
    <col min="9364" max="9364" width="15.5703125" style="8" bestFit="1" customWidth="1"/>
    <col min="9365" max="9365" width="4.28515625" style="8" customWidth="1"/>
    <col min="9366" max="9366" width="10.7109375" style="8" customWidth="1"/>
    <col min="9367" max="9367" width="23.28515625" style="8" bestFit="1" customWidth="1"/>
    <col min="9368" max="9377" width="11.28515625" style="8" customWidth="1"/>
    <col min="9378" max="9378" width="23.28515625" style="8" bestFit="1" customWidth="1"/>
    <col min="9379" max="9383" width="11.28515625" style="8" customWidth="1"/>
    <col min="9384" max="9478" width="11.5703125" style="8"/>
    <col min="9479" max="9479" width="9.85546875" style="8" customWidth="1"/>
    <col min="9480" max="9480" width="23.28515625" style="8" bestFit="1" customWidth="1"/>
    <col min="9481" max="9498" width="11" style="8" customWidth="1"/>
    <col min="9499" max="9499" width="10.140625" style="8" customWidth="1"/>
    <col min="9500" max="9500" width="23.28515625" style="8" bestFit="1" customWidth="1"/>
    <col min="9501" max="9509" width="11.5703125" style="8" customWidth="1"/>
    <col min="9510" max="9510" width="5.7109375" style="8" customWidth="1"/>
    <col min="9511" max="9511" width="11.5703125" style="8" customWidth="1"/>
    <col min="9512" max="9512" width="23.28515625" style="8" bestFit="1" customWidth="1"/>
    <col min="9513" max="9526" width="11.85546875" style="8" customWidth="1"/>
    <col min="9527" max="9527" width="9.7109375" style="8" customWidth="1"/>
    <col min="9528" max="9528" width="23.28515625" style="8" bestFit="1" customWidth="1"/>
    <col min="9529" max="9544" width="11.7109375" style="8" customWidth="1"/>
    <col min="9545" max="9545" width="4.42578125" style="8" customWidth="1"/>
    <col min="9546" max="9546" width="8.7109375" style="8" customWidth="1"/>
    <col min="9547" max="9547" width="23.28515625" style="8" bestFit="1" customWidth="1"/>
    <col min="9548" max="9559" width="11.28515625" style="8" customWidth="1"/>
    <col min="9560" max="9560" width="5.28515625" style="8" customWidth="1"/>
    <col min="9561" max="9561" width="9.5703125" style="8" customWidth="1"/>
    <col min="9562" max="9562" width="23.28515625" style="8" bestFit="1" customWidth="1"/>
    <col min="9563" max="9569" width="15.42578125" style="8" customWidth="1"/>
    <col min="9570" max="9570" width="6.7109375" style="8" customWidth="1"/>
    <col min="9571" max="9571" width="9" style="8" customWidth="1"/>
    <col min="9572" max="9572" width="23.28515625" style="8" bestFit="1" customWidth="1"/>
    <col min="9573" max="9582" width="11.140625" style="8" customWidth="1"/>
    <col min="9583" max="9583" width="6.7109375" style="8" customWidth="1"/>
    <col min="9584" max="9584" width="10.7109375" style="8" customWidth="1"/>
    <col min="9585" max="9585" width="23.28515625" style="8" bestFit="1" customWidth="1"/>
    <col min="9586" max="9596" width="13.7109375" style="8" customWidth="1"/>
    <col min="9597" max="9597" width="5" style="8" customWidth="1"/>
    <col min="9598" max="9598" width="9.28515625" style="8" customWidth="1"/>
    <col min="9599" max="9599" width="23.28515625" style="8" bestFit="1" customWidth="1"/>
    <col min="9600" max="9602" width="11.28515625" style="8" bestFit="1" customWidth="1"/>
    <col min="9603" max="9603" width="3" style="8" customWidth="1"/>
    <col min="9604" max="9604" width="8.42578125" style="8" customWidth="1"/>
    <col min="9605" max="9605" width="23.28515625" style="8" bestFit="1" customWidth="1"/>
    <col min="9606" max="9619" width="11.85546875" style="8" customWidth="1"/>
    <col min="9620" max="9620" width="15.5703125" style="8" bestFit="1" customWidth="1"/>
    <col min="9621" max="9621" width="4.28515625" style="8" customWidth="1"/>
    <col min="9622" max="9622" width="10.7109375" style="8" customWidth="1"/>
    <col min="9623" max="9623" width="23.28515625" style="8" bestFit="1" customWidth="1"/>
    <col min="9624" max="9633" width="11.28515625" style="8" customWidth="1"/>
    <col min="9634" max="9634" width="23.28515625" style="8" bestFit="1" customWidth="1"/>
    <col min="9635" max="9639" width="11.28515625" style="8" customWidth="1"/>
    <col min="9640" max="9734" width="11.5703125" style="8"/>
    <col min="9735" max="9735" width="9.85546875" style="8" customWidth="1"/>
    <col min="9736" max="9736" width="23.28515625" style="8" bestFit="1" customWidth="1"/>
    <col min="9737" max="9754" width="11" style="8" customWidth="1"/>
    <col min="9755" max="9755" width="10.140625" style="8" customWidth="1"/>
    <col min="9756" max="9756" width="23.28515625" style="8" bestFit="1" customWidth="1"/>
    <col min="9757" max="9765" width="11.5703125" style="8" customWidth="1"/>
    <col min="9766" max="9766" width="5.7109375" style="8" customWidth="1"/>
    <col min="9767" max="9767" width="11.5703125" style="8" customWidth="1"/>
    <col min="9768" max="9768" width="23.28515625" style="8" bestFit="1" customWidth="1"/>
    <col min="9769" max="9782" width="11.85546875" style="8" customWidth="1"/>
    <col min="9783" max="9783" width="9.7109375" style="8" customWidth="1"/>
    <col min="9784" max="9784" width="23.28515625" style="8" bestFit="1" customWidth="1"/>
    <col min="9785" max="9800" width="11.7109375" style="8" customWidth="1"/>
    <col min="9801" max="9801" width="4.42578125" style="8" customWidth="1"/>
    <col min="9802" max="9802" width="8.7109375" style="8" customWidth="1"/>
    <col min="9803" max="9803" width="23.28515625" style="8" bestFit="1" customWidth="1"/>
    <col min="9804" max="9815" width="11.28515625" style="8" customWidth="1"/>
    <col min="9816" max="9816" width="5.28515625" style="8" customWidth="1"/>
    <col min="9817" max="9817" width="9.5703125" style="8" customWidth="1"/>
    <col min="9818" max="9818" width="23.28515625" style="8" bestFit="1" customWidth="1"/>
    <col min="9819" max="9825" width="15.42578125" style="8" customWidth="1"/>
    <col min="9826" max="9826" width="6.7109375" style="8" customWidth="1"/>
    <col min="9827" max="9827" width="9" style="8" customWidth="1"/>
    <col min="9828" max="9828" width="23.28515625" style="8" bestFit="1" customWidth="1"/>
    <col min="9829" max="9838" width="11.140625" style="8" customWidth="1"/>
    <col min="9839" max="9839" width="6.7109375" style="8" customWidth="1"/>
    <col min="9840" max="9840" width="10.7109375" style="8" customWidth="1"/>
    <col min="9841" max="9841" width="23.28515625" style="8" bestFit="1" customWidth="1"/>
    <col min="9842" max="9852" width="13.7109375" style="8" customWidth="1"/>
    <col min="9853" max="9853" width="5" style="8" customWidth="1"/>
    <col min="9854" max="9854" width="9.28515625" style="8" customWidth="1"/>
    <col min="9855" max="9855" width="23.28515625" style="8" bestFit="1" customWidth="1"/>
    <col min="9856" max="9858" width="11.28515625" style="8" bestFit="1" customWidth="1"/>
    <col min="9859" max="9859" width="3" style="8" customWidth="1"/>
    <col min="9860" max="9860" width="8.42578125" style="8" customWidth="1"/>
    <col min="9861" max="9861" width="23.28515625" style="8" bestFit="1" customWidth="1"/>
    <col min="9862" max="9875" width="11.85546875" style="8" customWidth="1"/>
    <col min="9876" max="9876" width="15.5703125" style="8" bestFit="1" customWidth="1"/>
    <col min="9877" max="9877" width="4.28515625" style="8" customWidth="1"/>
    <col min="9878" max="9878" width="10.7109375" style="8" customWidth="1"/>
    <col min="9879" max="9879" width="23.28515625" style="8" bestFit="1" customWidth="1"/>
    <col min="9880" max="9889" width="11.28515625" style="8" customWidth="1"/>
    <col min="9890" max="9890" width="23.28515625" style="8" bestFit="1" customWidth="1"/>
    <col min="9891" max="9895" width="11.28515625" style="8" customWidth="1"/>
    <col min="9896" max="9990" width="11.5703125" style="8"/>
    <col min="9991" max="9991" width="9.85546875" style="8" customWidth="1"/>
    <col min="9992" max="9992" width="23.28515625" style="8" bestFit="1" customWidth="1"/>
    <col min="9993" max="10010" width="11" style="8" customWidth="1"/>
    <col min="10011" max="10011" width="10.140625" style="8" customWidth="1"/>
    <col min="10012" max="10012" width="23.28515625" style="8" bestFit="1" customWidth="1"/>
    <col min="10013" max="10021" width="11.5703125" style="8" customWidth="1"/>
    <col min="10022" max="10022" width="5.7109375" style="8" customWidth="1"/>
    <col min="10023" max="10023" width="11.5703125" style="8" customWidth="1"/>
    <col min="10024" max="10024" width="23.28515625" style="8" bestFit="1" customWidth="1"/>
    <col min="10025" max="10038" width="11.85546875" style="8" customWidth="1"/>
    <col min="10039" max="10039" width="9.7109375" style="8" customWidth="1"/>
    <col min="10040" max="10040" width="23.28515625" style="8" bestFit="1" customWidth="1"/>
    <col min="10041" max="10056" width="11.7109375" style="8" customWidth="1"/>
    <col min="10057" max="10057" width="4.42578125" style="8" customWidth="1"/>
    <col min="10058" max="10058" width="8.7109375" style="8" customWidth="1"/>
    <col min="10059" max="10059" width="23.28515625" style="8" bestFit="1" customWidth="1"/>
    <col min="10060" max="10071" width="11.28515625" style="8" customWidth="1"/>
    <col min="10072" max="10072" width="5.28515625" style="8" customWidth="1"/>
    <col min="10073" max="10073" width="9.5703125" style="8" customWidth="1"/>
    <col min="10074" max="10074" width="23.28515625" style="8" bestFit="1" customWidth="1"/>
    <col min="10075" max="10081" width="15.42578125" style="8" customWidth="1"/>
    <col min="10082" max="10082" width="6.7109375" style="8" customWidth="1"/>
    <col min="10083" max="10083" width="9" style="8" customWidth="1"/>
    <col min="10084" max="10084" width="23.28515625" style="8" bestFit="1" customWidth="1"/>
    <col min="10085" max="10094" width="11.140625" style="8" customWidth="1"/>
    <col min="10095" max="10095" width="6.7109375" style="8" customWidth="1"/>
    <col min="10096" max="10096" width="10.7109375" style="8" customWidth="1"/>
    <col min="10097" max="10097" width="23.28515625" style="8" bestFit="1" customWidth="1"/>
    <col min="10098" max="10108" width="13.7109375" style="8" customWidth="1"/>
    <col min="10109" max="10109" width="5" style="8" customWidth="1"/>
    <col min="10110" max="10110" width="9.28515625" style="8" customWidth="1"/>
    <col min="10111" max="10111" width="23.28515625" style="8" bestFit="1" customWidth="1"/>
    <col min="10112" max="10114" width="11.28515625" style="8" bestFit="1" customWidth="1"/>
    <col min="10115" max="10115" width="3" style="8" customWidth="1"/>
    <col min="10116" max="10116" width="8.42578125" style="8" customWidth="1"/>
    <col min="10117" max="10117" width="23.28515625" style="8" bestFit="1" customWidth="1"/>
    <col min="10118" max="10131" width="11.85546875" style="8" customWidth="1"/>
    <col min="10132" max="10132" width="15.5703125" style="8" bestFit="1" customWidth="1"/>
    <col min="10133" max="10133" width="4.28515625" style="8" customWidth="1"/>
    <col min="10134" max="10134" width="10.7109375" style="8" customWidth="1"/>
    <col min="10135" max="10135" width="23.28515625" style="8" bestFit="1" customWidth="1"/>
    <col min="10136" max="10145" width="11.28515625" style="8" customWidth="1"/>
    <col min="10146" max="10146" width="23.28515625" style="8" bestFit="1" customWidth="1"/>
    <col min="10147" max="10151" width="11.28515625" style="8" customWidth="1"/>
    <col min="10152" max="10246" width="11.5703125" style="8"/>
    <col min="10247" max="10247" width="9.85546875" style="8" customWidth="1"/>
    <col min="10248" max="10248" width="23.28515625" style="8" bestFit="1" customWidth="1"/>
    <col min="10249" max="10266" width="11" style="8" customWidth="1"/>
    <col min="10267" max="10267" width="10.140625" style="8" customWidth="1"/>
    <col min="10268" max="10268" width="23.28515625" style="8" bestFit="1" customWidth="1"/>
    <col min="10269" max="10277" width="11.5703125" style="8" customWidth="1"/>
    <col min="10278" max="10278" width="5.7109375" style="8" customWidth="1"/>
    <col min="10279" max="10279" width="11.5703125" style="8" customWidth="1"/>
    <col min="10280" max="10280" width="23.28515625" style="8" bestFit="1" customWidth="1"/>
    <col min="10281" max="10294" width="11.85546875" style="8" customWidth="1"/>
    <col min="10295" max="10295" width="9.7109375" style="8" customWidth="1"/>
    <col min="10296" max="10296" width="23.28515625" style="8" bestFit="1" customWidth="1"/>
    <col min="10297" max="10312" width="11.7109375" style="8" customWidth="1"/>
    <col min="10313" max="10313" width="4.42578125" style="8" customWidth="1"/>
    <col min="10314" max="10314" width="8.7109375" style="8" customWidth="1"/>
    <col min="10315" max="10315" width="23.28515625" style="8" bestFit="1" customWidth="1"/>
    <col min="10316" max="10327" width="11.28515625" style="8" customWidth="1"/>
    <col min="10328" max="10328" width="5.28515625" style="8" customWidth="1"/>
    <col min="10329" max="10329" width="9.5703125" style="8" customWidth="1"/>
    <col min="10330" max="10330" width="23.28515625" style="8" bestFit="1" customWidth="1"/>
    <col min="10331" max="10337" width="15.42578125" style="8" customWidth="1"/>
    <col min="10338" max="10338" width="6.7109375" style="8" customWidth="1"/>
    <col min="10339" max="10339" width="9" style="8" customWidth="1"/>
    <col min="10340" max="10340" width="23.28515625" style="8" bestFit="1" customWidth="1"/>
    <col min="10341" max="10350" width="11.140625" style="8" customWidth="1"/>
    <col min="10351" max="10351" width="6.7109375" style="8" customWidth="1"/>
    <col min="10352" max="10352" width="10.7109375" style="8" customWidth="1"/>
    <col min="10353" max="10353" width="23.28515625" style="8" bestFit="1" customWidth="1"/>
    <col min="10354" max="10364" width="13.7109375" style="8" customWidth="1"/>
    <col min="10365" max="10365" width="5" style="8" customWidth="1"/>
    <col min="10366" max="10366" width="9.28515625" style="8" customWidth="1"/>
    <col min="10367" max="10367" width="23.28515625" style="8" bestFit="1" customWidth="1"/>
    <col min="10368" max="10370" width="11.28515625" style="8" bestFit="1" customWidth="1"/>
    <col min="10371" max="10371" width="3" style="8" customWidth="1"/>
    <col min="10372" max="10372" width="8.42578125" style="8" customWidth="1"/>
    <col min="10373" max="10373" width="23.28515625" style="8" bestFit="1" customWidth="1"/>
    <col min="10374" max="10387" width="11.85546875" style="8" customWidth="1"/>
    <col min="10388" max="10388" width="15.5703125" style="8" bestFit="1" customWidth="1"/>
    <col min="10389" max="10389" width="4.28515625" style="8" customWidth="1"/>
    <col min="10390" max="10390" width="10.7109375" style="8" customWidth="1"/>
    <col min="10391" max="10391" width="23.28515625" style="8" bestFit="1" customWidth="1"/>
    <col min="10392" max="10401" width="11.28515625" style="8" customWidth="1"/>
    <col min="10402" max="10402" width="23.28515625" style="8" bestFit="1" customWidth="1"/>
    <col min="10403" max="10407" width="11.28515625" style="8" customWidth="1"/>
    <col min="10408" max="10502" width="11.5703125" style="8"/>
    <col min="10503" max="10503" width="9.85546875" style="8" customWidth="1"/>
    <col min="10504" max="10504" width="23.28515625" style="8" bestFit="1" customWidth="1"/>
    <col min="10505" max="10522" width="11" style="8" customWidth="1"/>
    <col min="10523" max="10523" width="10.140625" style="8" customWidth="1"/>
    <col min="10524" max="10524" width="23.28515625" style="8" bestFit="1" customWidth="1"/>
    <col min="10525" max="10533" width="11.5703125" style="8" customWidth="1"/>
    <col min="10534" max="10534" width="5.7109375" style="8" customWidth="1"/>
    <col min="10535" max="10535" width="11.5703125" style="8" customWidth="1"/>
    <col min="10536" max="10536" width="23.28515625" style="8" bestFit="1" customWidth="1"/>
    <col min="10537" max="10550" width="11.85546875" style="8" customWidth="1"/>
    <col min="10551" max="10551" width="9.7109375" style="8" customWidth="1"/>
    <col min="10552" max="10552" width="23.28515625" style="8" bestFit="1" customWidth="1"/>
    <col min="10553" max="10568" width="11.7109375" style="8" customWidth="1"/>
    <col min="10569" max="10569" width="4.42578125" style="8" customWidth="1"/>
    <col min="10570" max="10570" width="8.7109375" style="8" customWidth="1"/>
    <col min="10571" max="10571" width="23.28515625" style="8" bestFit="1" customWidth="1"/>
    <col min="10572" max="10583" width="11.28515625" style="8" customWidth="1"/>
    <col min="10584" max="10584" width="5.28515625" style="8" customWidth="1"/>
    <col min="10585" max="10585" width="9.5703125" style="8" customWidth="1"/>
    <col min="10586" max="10586" width="23.28515625" style="8" bestFit="1" customWidth="1"/>
    <col min="10587" max="10593" width="15.42578125" style="8" customWidth="1"/>
    <col min="10594" max="10594" width="6.7109375" style="8" customWidth="1"/>
    <col min="10595" max="10595" width="9" style="8" customWidth="1"/>
    <col min="10596" max="10596" width="23.28515625" style="8" bestFit="1" customWidth="1"/>
    <col min="10597" max="10606" width="11.140625" style="8" customWidth="1"/>
    <col min="10607" max="10607" width="6.7109375" style="8" customWidth="1"/>
    <col min="10608" max="10608" width="10.7109375" style="8" customWidth="1"/>
    <col min="10609" max="10609" width="23.28515625" style="8" bestFit="1" customWidth="1"/>
    <col min="10610" max="10620" width="13.7109375" style="8" customWidth="1"/>
    <col min="10621" max="10621" width="5" style="8" customWidth="1"/>
    <col min="10622" max="10622" width="9.28515625" style="8" customWidth="1"/>
    <col min="10623" max="10623" width="23.28515625" style="8" bestFit="1" customWidth="1"/>
    <col min="10624" max="10626" width="11.28515625" style="8" bestFit="1" customWidth="1"/>
    <col min="10627" max="10627" width="3" style="8" customWidth="1"/>
    <col min="10628" max="10628" width="8.42578125" style="8" customWidth="1"/>
    <col min="10629" max="10629" width="23.28515625" style="8" bestFit="1" customWidth="1"/>
    <col min="10630" max="10643" width="11.85546875" style="8" customWidth="1"/>
    <col min="10644" max="10644" width="15.5703125" style="8" bestFit="1" customWidth="1"/>
    <col min="10645" max="10645" width="4.28515625" style="8" customWidth="1"/>
    <col min="10646" max="10646" width="10.7109375" style="8" customWidth="1"/>
    <col min="10647" max="10647" width="23.28515625" style="8" bestFit="1" customWidth="1"/>
    <col min="10648" max="10657" width="11.28515625" style="8" customWidth="1"/>
    <col min="10658" max="10658" width="23.28515625" style="8" bestFit="1" customWidth="1"/>
    <col min="10659" max="10663" width="11.28515625" style="8" customWidth="1"/>
    <col min="10664" max="10758" width="11.5703125" style="8"/>
    <col min="10759" max="10759" width="9.85546875" style="8" customWidth="1"/>
    <col min="10760" max="10760" width="23.28515625" style="8" bestFit="1" customWidth="1"/>
    <col min="10761" max="10778" width="11" style="8" customWidth="1"/>
    <col min="10779" max="10779" width="10.140625" style="8" customWidth="1"/>
    <col min="10780" max="10780" width="23.28515625" style="8" bestFit="1" customWidth="1"/>
    <col min="10781" max="10789" width="11.5703125" style="8" customWidth="1"/>
    <col min="10790" max="10790" width="5.7109375" style="8" customWidth="1"/>
    <col min="10791" max="10791" width="11.5703125" style="8" customWidth="1"/>
    <col min="10792" max="10792" width="23.28515625" style="8" bestFit="1" customWidth="1"/>
    <col min="10793" max="10806" width="11.85546875" style="8" customWidth="1"/>
    <col min="10807" max="10807" width="9.7109375" style="8" customWidth="1"/>
    <col min="10808" max="10808" width="23.28515625" style="8" bestFit="1" customWidth="1"/>
    <col min="10809" max="10824" width="11.7109375" style="8" customWidth="1"/>
    <col min="10825" max="10825" width="4.42578125" style="8" customWidth="1"/>
    <col min="10826" max="10826" width="8.7109375" style="8" customWidth="1"/>
    <col min="10827" max="10827" width="23.28515625" style="8" bestFit="1" customWidth="1"/>
    <col min="10828" max="10839" width="11.28515625" style="8" customWidth="1"/>
    <col min="10840" max="10840" width="5.28515625" style="8" customWidth="1"/>
    <col min="10841" max="10841" width="9.5703125" style="8" customWidth="1"/>
    <col min="10842" max="10842" width="23.28515625" style="8" bestFit="1" customWidth="1"/>
    <col min="10843" max="10849" width="15.42578125" style="8" customWidth="1"/>
    <col min="10850" max="10850" width="6.7109375" style="8" customWidth="1"/>
    <col min="10851" max="10851" width="9" style="8" customWidth="1"/>
    <col min="10852" max="10852" width="23.28515625" style="8" bestFit="1" customWidth="1"/>
    <col min="10853" max="10862" width="11.140625" style="8" customWidth="1"/>
    <col min="10863" max="10863" width="6.7109375" style="8" customWidth="1"/>
    <col min="10864" max="10864" width="10.7109375" style="8" customWidth="1"/>
    <col min="10865" max="10865" width="23.28515625" style="8" bestFit="1" customWidth="1"/>
    <col min="10866" max="10876" width="13.7109375" style="8" customWidth="1"/>
    <col min="10877" max="10877" width="5" style="8" customWidth="1"/>
    <col min="10878" max="10878" width="9.28515625" style="8" customWidth="1"/>
    <col min="10879" max="10879" width="23.28515625" style="8" bestFit="1" customWidth="1"/>
    <col min="10880" max="10882" width="11.28515625" style="8" bestFit="1" customWidth="1"/>
    <col min="10883" max="10883" width="3" style="8" customWidth="1"/>
    <col min="10884" max="10884" width="8.42578125" style="8" customWidth="1"/>
    <col min="10885" max="10885" width="23.28515625" style="8" bestFit="1" customWidth="1"/>
    <col min="10886" max="10899" width="11.85546875" style="8" customWidth="1"/>
    <col min="10900" max="10900" width="15.5703125" style="8" bestFit="1" customWidth="1"/>
    <col min="10901" max="10901" width="4.28515625" style="8" customWidth="1"/>
    <col min="10902" max="10902" width="10.7109375" style="8" customWidth="1"/>
    <col min="10903" max="10903" width="23.28515625" style="8" bestFit="1" customWidth="1"/>
    <col min="10904" max="10913" width="11.28515625" style="8" customWidth="1"/>
    <col min="10914" max="10914" width="23.28515625" style="8" bestFit="1" customWidth="1"/>
    <col min="10915" max="10919" width="11.28515625" style="8" customWidth="1"/>
    <col min="10920" max="11014" width="11.5703125" style="8"/>
    <col min="11015" max="11015" width="9.85546875" style="8" customWidth="1"/>
    <col min="11016" max="11016" width="23.28515625" style="8" bestFit="1" customWidth="1"/>
    <col min="11017" max="11034" width="11" style="8" customWidth="1"/>
    <col min="11035" max="11035" width="10.140625" style="8" customWidth="1"/>
    <col min="11036" max="11036" width="23.28515625" style="8" bestFit="1" customWidth="1"/>
    <col min="11037" max="11045" width="11.5703125" style="8" customWidth="1"/>
    <col min="11046" max="11046" width="5.7109375" style="8" customWidth="1"/>
    <col min="11047" max="11047" width="11.5703125" style="8" customWidth="1"/>
    <col min="11048" max="11048" width="23.28515625" style="8" bestFit="1" customWidth="1"/>
    <col min="11049" max="11062" width="11.85546875" style="8" customWidth="1"/>
    <col min="11063" max="11063" width="9.7109375" style="8" customWidth="1"/>
    <col min="11064" max="11064" width="23.28515625" style="8" bestFit="1" customWidth="1"/>
    <col min="11065" max="11080" width="11.7109375" style="8" customWidth="1"/>
    <col min="11081" max="11081" width="4.42578125" style="8" customWidth="1"/>
    <col min="11082" max="11082" width="8.7109375" style="8" customWidth="1"/>
    <col min="11083" max="11083" width="23.28515625" style="8" bestFit="1" customWidth="1"/>
    <col min="11084" max="11095" width="11.28515625" style="8" customWidth="1"/>
    <col min="11096" max="11096" width="5.28515625" style="8" customWidth="1"/>
    <col min="11097" max="11097" width="9.5703125" style="8" customWidth="1"/>
    <col min="11098" max="11098" width="23.28515625" style="8" bestFit="1" customWidth="1"/>
    <col min="11099" max="11105" width="15.42578125" style="8" customWidth="1"/>
    <col min="11106" max="11106" width="6.7109375" style="8" customWidth="1"/>
    <col min="11107" max="11107" width="9" style="8" customWidth="1"/>
    <col min="11108" max="11108" width="23.28515625" style="8" bestFit="1" customWidth="1"/>
    <col min="11109" max="11118" width="11.140625" style="8" customWidth="1"/>
    <col min="11119" max="11119" width="6.7109375" style="8" customWidth="1"/>
    <col min="11120" max="11120" width="10.7109375" style="8" customWidth="1"/>
    <col min="11121" max="11121" width="23.28515625" style="8" bestFit="1" customWidth="1"/>
    <col min="11122" max="11132" width="13.7109375" style="8" customWidth="1"/>
    <col min="11133" max="11133" width="5" style="8" customWidth="1"/>
    <col min="11134" max="11134" width="9.28515625" style="8" customWidth="1"/>
    <col min="11135" max="11135" width="23.28515625" style="8" bestFit="1" customWidth="1"/>
    <col min="11136" max="11138" width="11.28515625" style="8" bestFit="1" customWidth="1"/>
    <col min="11139" max="11139" width="3" style="8" customWidth="1"/>
    <col min="11140" max="11140" width="8.42578125" style="8" customWidth="1"/>
    <col min="11141" max="11141" width="23.28515625" style="8" bestFit="1" customWidth="1"/>
    <col min="11142" max="11155" width="11.85546875" style="8" customWidth="1"/>
    <col min="11156" max="11156" width="15.5703125" style="8" bestFit="1" customWidth="1"/>
    <col min="11157" max="11157" width="4.28515625" style="8" customWidth="1"/>
    <col min="11158" max="11158" width="10.7109375" style="8" customWidth="1"/>
    <col min="11159" max="11159" width="23.28515625" style="8" bestFit="1" customWidth="1"/>
    <col min="11160" max="11169" width="11.28515625" style="8" customWidth="1"/>
    <col min="11170" max="11170" width="23.28515625" style="8" bestFit="1" customWidth="1"/>
    <col min="11171" max="11175" width="11.28515625" style="8" customWidth="1"/>
    <col min="11176" max="11270" width="11.5703125" style="8"/>
    <col min="11271" max="11271" width="9.85546875" style="8" customWidth="1"/>
    <col min="11272" max="11272" width="23.28515625" style="8" bestFit="1" customWidth="1"/>
    <col min="11273" max="11290" width="11" style="8" customWidth="1"/>
    <col min="11291" max="11291" width="10.140625" style="8" customWidth="1"/>
    <col min="11292" max="11292" width="23.28515625" style="8" bestFit="1" customWidth="1"/>
    <col min="11293" max="11301" width="11.5703125" style="8" customWidth="1"/>
    <col min="11302" max="11302" width="5.7109375" style="8" customWidth="1"/>
    <col min="11303" max="11303" width="11.5703125" style="8" customWidth="1"/>
    <col min="11304" max="11304" width="23.28515625" style="8" bestFit="1" customWidth="1"/>
    <col min="11305" max="11318" width="11.85546875" style="8" customWidth="1"/>
    <col min="11319" max="11319" width="9.7109375" style="8" customWidth="1"/>
    <col min="11320" max="11320" width="23.28515625" style="8" bestFit="1" customWidth="1"/>
    <col min="11321" max="11336" width="11.7109375" style="8" customWidth="1"/>
    <col min="11337" max="11337" width="4.42578125" style="8" customWidth="1"/>
    <col min="11338" max="11338" width="8.7109375" style="8" customWidth="1"/>
    <col min="11339" max="11339" width="23.28515625" style="8" bestFit="1" customWidth="1"/>
    <col min="11340" max="11351" width="11.28515625" style="8" customWidth="1"/>
    <col min="11352" max="11352" width="5.28515625" style="8" customWidth="1"/>
    <col min="11353" max="11353" width="9.5703125" style="8" customWidth="1"/>
    <col min="11354" max="11354" width="23.28515625" style="8" bestFit="1" customWidth="1"/>
    <col min="11355" max="11361" width="15.42578125" style="8" customWidth="1"/>
    <col min="11362" max="11362" width="6.7109375" style="8" customWidth="1"/>
    <col min="11363" max="11363" width="9" style="8" customWidth="1"/>
    <col min="11364" max="11364" width="23.28515625" style="8" bestFit="1" customWidth="1"/>
    <col min="11365" max="11374" width="11.140625" style="8" customWidth="1"/>
    <col min="11375" max="11375" width="6.7109375" style="8" customWidth="1"/>
    <col min="11376" max="11376" width="10.7109375" style="8" customWidth="1"/>
    <col min="11377" max="11377" width="23.28515625" style="8" bestFit="1" customWidth="1"/>
    <col min="11378" max="11388" width="13.7109375" style="8" customWidth="1"/>
    <col min="11389" max="11389" width="5" style="8" customWidth="1"/>
    <col min="11390" max="11390" width="9.28515625" style="8" customWidth="1"/>
    <col min="11391" max="11391" width="23.28515625" style="8" bestFit="1" customWidth="1"/>
    <col min="11392" max="11394" width="11.28515625" style="8" bestFit="1" customWidth="1"/>
    <col min="11395" max="11395" width="3" style="8" customWidth="1"/>
    <col min="11396" max="11396" width="8.42578125" style="8" customWidth="1"/>
    <col min="11397" max="11397" width="23.28515625" style="8" bestFit="1" customWidth="1"/>
    <col min="11398" max="11411" width="11.85546875" style="8" customWidth="1"/>
    <col min="11412" max="11412" width="15.5703125" style="8" bestFit="1" customWidth="1"/>
    <col min="11413" max="11413" width="4.28515625" style="8" customWidth="1"/>
    <col min="11414" max="11414" width="10.7109375" style="8" customWidth="1"/>
    <col min="11415" max="11415" width="23.28515625" style="8" bestFit="1" customWidth="1"/>
    <col min="11416" max="11425" width="11.28515625" style="8" customWidth="1"/>
    <col min="11426" max="11426" width="23.28515625" style="8" bestFit="1" customWidth="1"/>
    <col min="11427" max="11431" width="11.28515625" style="8" customWidth="1"/>
    <col min="11432" max="11526" width="11.5703125" style="8"/>
    <col min="11527" max="11527" width="9.85546875" style="8" customWidth="1"/>
    <col min="11528" max="11528" width="23.28515625" style="8" bestFit="1" customWidth="1"/>
    <col min="11529" max="11546" width="11" style="8" customWidth="1"/>
    <col min="11547" max="11547" width="10.140625" style="8" customWidth="1"/>
    <col min="11548" max="11548" width="23.28515625" style="8" bestFit="1" customWidth="1"/>
    <col min="11549" max="11557" width="11.5703125" style="8" customWidth="1"/>
    <col min="11558" max="11558" width="5.7109375" style="8" customWidth="1"/>
    <col min="11559" max="11559" width="11.5703125" style="8" customWidth="1"/>
    <col min="11560" max="11560" width="23.28515625" style="8" bestFit="1" customWidth="1"/>
    <col min="11561" max="11574" width="11.85546875" style="8" customWidth="1"/>
    <col min="11575" max="11575" width="9.7109375" style="8" customWidth="1"/>
    <col min="11576" max="11576" width="23.28515625" style="8" bestFit="1" customWidth="1"/>
    <col min="11577" max="11592" width="11.7109375" style="8" customWidth="1"/>
    <col min="11593" max="11593" width="4.42578125" style="8" customWidth="1"/>
    <col min="11594" max="11594" width="8.7109375" style="8" customWidth="1"/>
    <col min="11595" max="11595" width="23.28515625" style="8" bestFit="1" customWidth="1"/>
    <col min="11596" max="11607" width="11.28515625" style="8" customWidth="1"/>
    <col min="11608" max="11608" width="5.28515625" style="8" customWidth="1"/>
    <col min="11609" max="11609" width="9.5703125" style="8" customWidth="1"/>
    <col min="11610" max="11610" width="23.28515625" style="8" bestFit="1" customWidth="1"/>
    <col min="11611" max="11617" width="15.42578125" style="8" customWidth="1"/>
    <col min="11618" max="11618" width="6.7109375" style="8" customWidth="1"/>
    <col min="11619" max="11619" width="9" style="8" customWidth="1"/>
    <col min="11620" max="11620" width="23.28515625" style="8" bestFit="1" customWidth="1"/>
    <col min="11621" max="11630" width="11.140625" style="8" customWidth="1"/>
    <col min="11631" max="11631" width="6.7109375" style="8" customWidth="1"/>
    <col min="11632" max="11632" width="10.7109375" style="8" customWidth="1"/>
    <col min="11633" max="11633" width="23.28515625" style="8" bestFit="1" customWidth="1"/>
    <col min="11634" max="11644" width="13.7109375" style="8" customWidth="1"/>
    <col min="11645" max="11645" width="5" style="8" customWidth="1"/>
    <col min="11646" max="11646" width="9.28515625" style="8" customWidth="1"/>
    <col min="11647" max="11647" width="23.28515625" style="8" bestFit="1" customWidth="1"/>
    <col min="11648" max="11650" width="11.28515625" style="8" bestFit="1" customWidth="1"/>
    <col min="11651" max="11651" width="3" style="8" customWidth="1"/>
    <col min="11652" max="11652" width="8.42578125" style="8" customWidth="1"/>
    <col min="11653" max="11653" width="23.28515625" style="8" bestFit="1" customWidth="1"/>
    <col min="11654" max="11667" width="11.85546875" style="8" customWidth="1"/>
    <col min="11668" max="11668" width="15.5703125" style="8" bestFit="1" customWidth="1"/>
    <col min="11669" max="11669" width="4.28515625" style="8" customWidth="1"/>
    <col min="11670" max="11670" width="10.7109375" style="8" customWidth="1"/>
    <col min="11671" max="11671" width="23.28515625" style="8" bestFit="1" customWidth="1"/>
    <col min="11672" max="11681" width="11.28515625" style="8" customWidth="1"/>
    <col min="11682" max="11682" width="23.28515625" style="8" bestFit="1" customWidth="1"/>
    <col min="11683" max="11687" width="11.28515625" style="8" customWidth="1"/>
    <col min="11688" max="11782" width="11.5703125" style="8"/>
    <col min="11783" max="11783" width="9.85546875" style="8" customWidth="1"/>
    <col min="11784" max="11784" width="23.28515625" style="8" bestFit="1" customWidth="1"/>
    <col min="11785" max="11802" width="11" style="8" customWidth="1"/>
    <col min="11803" max="11803" width="10.140625" style="8" customWidth="1"/>
    <col min="11804" max="11804" width="23.28515625" style="8" bestFit="1" customWidth="1"/>
    <col min="11805" max="11813" width="11.5703125" style="8" customWidth="1"/>
    <col min="11814" max="11814" width="5.7109375" style="8" customWidth="1"/>
    <col min="11815" max="11815" width="11.5703125" style="8" customWidth="1"/>
    <col min="11816" max="11816" width="23.28515625" style="8" bestFit="1" customWidth="1"/>
    <col min="11817" max="11830" width="11.85546875" style="8" customWidth="1"/>
    <col min="11831" max="11831" width="9.7109375" style="8" customWidth="1"/>
    <col min="11832" max="11832" width="23.28515625" style="8" bestFit="1" customWidth="1"/>
    <col min="11833" max="11848" width="11.7109375" style="8" customWidth="1"/>
    <col min="11849" max="11849" width="4.42578125" style="8" customWidth="1"/>
    <col min="11850" max="11850" width="8.7109375" style="8" customWidth="1"/>
    <col min="11851" max="11851" width="23.28515625" style="8" bestFit="1" customWidth="1"/>
    <col min="11852" max="11863" width="11.28515625" style="8" customWidth="1"/>
    <col min="11864" max="11864" width="5.28515625" style="8" customWidth="1"/>
    <col min="11865" max="11865" width="9.5703125" style="8" customWidth="1"/>
    <col min="11866" max="11866" width="23.28515625" style="8" bestFit="1" customWidth="1"/>
    <col min="11867" max="11873" width="15.42578125" style="8" customWidth="1"/>
    <col min="11874" max="11874" width="6.7109375" style="8" customWidth="1"/>
    <col min="11875" max="11875" width="9" style="8" customWidth="1"/>
    <col min="11876" max="11876" width="23.28515625" style="8" bestFit="1" customWidth="1"/>
    <col min="11877" max="11886" width="11.140625" style="8" customWidth="1"/>
    <col min="11887" max="11887" width="6.7109375" style="8" customWidth="1"/>
    <col min="11888" max="11888" width="10.7109375" style="8" customWidth="1"/>
    <col min="11889" max="11889" width="23.28515625" style="8" bestFit="1" customWidth="1"/>
    <col min="11890" max="11900" width="13.7109375" style="8" customWidth="1"/>
    <col min="11901" max="11901" width="5" style="8" customWidth="1"/>
    <col min="11902" max="11902" width="9.28515625" style="8" customWidth="1"/>
    <col min="11903" max="11903" width="23.28515625" style="8" bestFit="1" customWidth="1"/>
    <col min="11904" max="11906" width="11.28515625" style="8" bestFit="1" customWidth="1"/>
    <col min="11907" max="11907" width="3" style="8" customWidth="1"/>
    <col min="11908" max="11908" width="8.42578125" style="8" customWidth="1"/>
    <col min="11909" max="11909" width="23.28515625" style="8" bestFit="1" customWidth="1"/>
    <col min="11910" max="11923" width="11.85546875" style="8" customWidth="1"/>
    <col min="11924" max="11924" width="15.5703125" style="8" bestFit="1" customWidth="1"/>
    <col min="11925" max="11925" width="4.28515625" style="8" customWidth="1"/>
    <col min="11926" max="11926" width="10.7109375" style="8" customWidth="1"/>
    <col min="11927" max="11927" width="23.28515625" style="8" bestFit="1" customWidth="1"/>
    <col min="11928" max="11937" width="11.28515625" style="8" customWidth="1"/>
    <col min="11938" max="11938" width="23.28515625" style="8" bestFit="1" customWidth="1"/>
    <col min="11939" max="11943" width="11.28515625" style="8" customWidth="1"/>
    <col min="11944" max="12038" width="11.5703125" style="8"/>
    <col min="12039" max="12039" width="9.85546875" style="8" customWidth="1"/>
    <col min="12040" max="12040" width="23.28515625" style="8" bestFit="1" customWidth="1"/>
    <col min="12041" max="12058" width="11" style="8" customWidth="1"/>
    <col min="12059" max="12059" width="10.140625" style="8" customWidth="1"/>
    <col min="12060" max="12060" width="23.28515625" style="8" bestFit="1" customWidth="1"/>
    <col min="12061" max="12069" width="11.5703125" style="8" customWidth="1"/>
    <col min="12070" max="12070" width="5.7109375" style="8" customWidth="1"/>
    <col min="12071" max="12071" width="11.5703125" style="8" customWidth="1"/>
    <col min="12072" max="12072" width="23.28515625" style="8" bestFit="1" customWidth="1"/>
    <col min="12073" max="12086" width="11.85546875" style="8" customWidth="1"/>
    <col min="12087" max="12087" width="9.7109375" style="8" customWidth="1"/>
    <col min="12088" max="12088" width="23.28515625" style="8" bestFit="1" customWidth="1"/>
    <col min="12089" max="12104" width="11.7109375" style="8" customWidth="1"/>
    <col min="12105" max="12105" width="4.42578125" style="8" customWidth="1"/>
    <col min="12106" max="12106" width="8.7109375" style="8" customWidth="1"/>
    <col min="12107" max="12107" width="23.28515625" style="8" bestFit="1" customWidth="1"/>
    <col min="12108" max="12119" width="11.28515625" style="8" customWidth="1"/>
    <col min="12120" max="12120" width="5.28515625" style="8" customWidth="1"/>
    <col min="12121" max="12121" width="9.5703125" style="8" customWidth="1"/>
    <col min="12122" max="12122" width="23.28515625" style="8" bestFit="1" customWidth="1"/>
    <col min="12123" max="12129" width="15.42578125" style="8" customWidth="1"/>
    <col min="12130" max="12130" width="6.7109375" style="8" customWidth="1"/>
    <col min="12131" max="12131" width="9" style="8" customWidth="1"/>
    <col min="12132" max="12132" width="23.28515625" style="8" bestFit="1" customWidth="1"/>
    <col min="12133" max="12142" width="11.140625" style="8" customWidth="1"/>
    <col min="12143" max="12143" width="6.7109375" style="8" customWidth="1"/>
    <col min="12144" max="12144" width="10.7109375" style="8" customWidth="1"/>
    <col min="12145" max="12145" width="23.28515625" style="8" bestFit="1" customWidth="1"/>
    <col min="12146" max="12156" width="13.7109375" style="8" customWidth="1"/>
    <col min="12157" max="12157" width="5" style="8" customWidth="1"/>
    <col min="12158" max="12158" width="9.28515625" style="8" customWidth="1"/>
    <col min="12159" max="12159" width="23.28515625" style="8" bestFit="1" customWidth="1"/>
    <col min="12160" max="12162" width="11.28515625" style="8" bestFit="1" customWidth="1"/>
    <col min="12163" max="12163" width="3" style="8" customWidth="1"/>
    <col min="12164" max="12164" width="8.42578125" style="8" customWidth="1"/>
    <col min="12165" max="12165" width="23.28515625" style="8" bestFit="1" customWidth="1"/>
    <col min="12166" max="12179" width="11.85546875" style="8" customWidth="1"/>
    <col min="12180" max="12180" width="15.5703125" style="8" bestFit="1" customWidth="1"/>
    <col min="12181" max="12181" width="4.28515625" style="8" customWidth="1"/>
    <col min="12182" max="12182" width="10.7109375" style="8" customWidth="1"/>
    <col min="12183" max="12183" width="23.28515625" style="8" bestFit="1" customWidth="1"/>
    <col min="12184" max="12193" width="11.28515625" style="8" customWidth="1"/>
    <col min="12194" max="12194" width="23.28515625" style="8" bestFit="1" customWidth="1"/>
    <col min="12195" max="12199" width="11.28515625" style="8" customWidth="1"/>
    <col min="12200" max="12294" width="11.5703125" style="8"/>
    <col min="12295" max="12295" width="9.85546875" style="8" customWidth="1"/>
    <col min="12296" max="12296" width="23.28515625" style="8" bestFit="1" customWidth="1"/>
    <col min="12297" max="12314" width="11" style="8" customWidth="1"/>
    <col min="12315" max="12315" width="10.140625" style="8" customWidth="1"/>
    <col min="12316" max="12316" width="23.28515625" style="8" bestFit="1" customWidth="1"/>
    <col min="12317" max="12325" width="11.5703125" style="8" customWidth="1"/>
    <col min="12326" max="12326" width="5.7109375" style="8" customWidth="1"/>
    <col min="12327" max="12327" width="11.5703125" style="8" customWidth="1"/>
    <col min="12328" max="12328" width="23.28515625" style="8" bestFit="1" customWidth="1"/>
    <col min="12329" max="12342" width="11.85546875" style="8" customWidth="1"/>
    <col min="12343" max="12343" width="9.7109375" style="8" customWidth="1"/>
    <col min="12344" max="12344" width="23.28515625" style="8" bestFit="1" customWidth="1"/>
    <col min="12345" max="12360" width="11.7109375" style="8" customWidth="1"/>
    <col min="12361" max="12361" width="4.42578125" style="8" customWidth="1"/>
    <col min="12362" max="12362" width="8.7109375" style="8" customWidth="1"/>
    <col min="12363" max="12363" width="23.28515625" style="8" bestFit="1" customWidth="1"/>
    <col min="12364" max="12375" width="11.28515625" style="8" customWidth="1"/>
    <col min="12376" max="12376" width="5.28515625" style="8" customWidth="1"/>
    <col min="12377" max="12377" width="9.5703125" style="8" customWidth="1"/>
    <col min="12378" max="12378" width="23.28515625" style="8" bestFit="1" customWidth="1"/>
    <col min="12379" max="12385" width="15.42578125" style="8" customWidth="1"/>
    <col min="12386" max="12386" width="6.7109375" style="8" customWidth="1"/>
    <col min="12387" max="12387" width="9" style="8" customWidth="1"/>
    <col min="12388" max="12388" width="23.28515625" style="8" bestFit="1" customWidth="1"/>
    <col min="12389" max="12398" width="11.140625" style="8" customWidth="1"/>
    <col min="12399" max="12399" width="6.7109375" style="8" customWidth="1"/>
    <col min="12400" max="12400" width="10.7109375" style="8" customWidth="1"/>
    <col min="12401" max="12401" width="23.28515625" style="8" bestFit="1" customWidth="1"/>
    <col min="12402" max="12412" width="13.7109375" style="8" customWidth="1"/>
    <col min="12413" max="12413" width="5" style="8" customWidth="1"/>
    <col min="12414" max="12414" width="9.28515625" style="8" customWidth="1"/>
    <col min="12415" max="12415" width="23.28515625" style="8" bestFit="1" customWidth="1"/>
    <col min="12416" max="12418" width="11.28515625" style="8" bestFit="1" customWidth="1"/>
    <col min="12419" max="12419" width="3" style="8" customWidth="1"/>
    <col min="12420" max="12420" width="8.42578125" style="8" customWidth="1"/>
    <col min="12421" max="12421" width="23.28515625" style="8" bestFit="1" customWidth="1"/>
    <col min="12422" max="12435" width="11.85546875" style="8" customWidth="1"/>
    <col min="12436" max="12436" width="15.5703125" style="8" bestFit="1" customWidth="1"/>
    <col min="12437" max="12437" width="4.28515625" style="8" customWidth="1"/>
    <col min="12438" max="12438" width="10.7109375" style="8" customWidth="1"/>
    <col min="12439" max="12439" width="23.28515625" style="8" bestFit="1" customWidth="1"/>
    <col min="12440" max="12449" width="11.28515625" style="8" customWidth="1"/>
    <col min="12450" max="12450" width="23.28515625" style="8" bestFit="1" customWidth="1"/>
    <col min="12451" max="12455" width="11.28515625" style="8" customWidth="1"/>
    <col min="12456" max="12550" width="11.5703125" style="8"/>
    <col min="12551" max="12551" width="9.85546875" style="8" customWidth="1"/>
    <col min="12552" max="12552" width="23.28515625" style="8" bestFit="1" customWidth="1"/>
    <col min="12553" max="12570" width="11" style="8" customWidth="1"/>
    <col min="12571" max="12571" width="10.140625" style="8" customWidth="1"/>
    <col min="12572" max="12572" width="23.28515625" style="8" bestFit="1" customWidth="1"/>
    <col min="12573" max="12581" width="11.5703125" style="8" customWidth="1"/>
    <col min="12582" max="12582" width="5.7109375" style="8" customWidth="1"/>
    <col min="12583" max="12583" width="11.5703125" style="8" customWidth="1"/>
    <col min="12584" max="12584" width="23.28515625" style="8" bestFit="1" customWidth="1"/>
    <col min="12585" max="12598" width="11.85546875" style="8" customWidth="1"/>
    <col min="12599" max="12599" width="9.7109375" style="8" customWidth="1"/>
    <col min="12600" max="12600" width="23.28515625" style="8" bestFit="1" customWidth="1"/>
    <col min="12601" max="12616" width="11.7109375" style="8" customWidth="1"/>
    <col min="12617" max="12617" width="4.42578125" style="8" customWidth="1"/>
    <col min="12618" max="12618" width="8.7109375" style="8" customWidth="1"/>
    <col min="12619" max="12619" width="23.28515625" style="8" bestFit="1" customWidth="1"/>
    <col min="12620" max="12631" width="11.28515625" style="8" customWidth="1"/>
    <col min="12632" max="12632" width="5.28515625" style="8" customWidth="1"/>
    <col min="12633" max="12633" width="9.5703125" style="8" customWidth="1"/>
    <col min="12634" max="12634" width="23.28515625" style="8" bestFit="1" customWidth="1"/>
    <col min="12635" max="12641" width="15.42578125" style="8" customWidth="1"/>
    <col min="12642" max="12642" width="6.7109375" style="8" customWidth="1"/>
    <col min="12643" max="12643" width="9" style="8" customWidth="1"/>
    <col min="12644" max="12644" width="23.28515625" style="8" bestFit="1" customWidth="1"/>
    <col min="12645" max="12654" width="11.140625" style="8" customWidth="1"/>
    <col min="12655" max="12655" width="6.7109375" style="8" customWidth="1"/>
    <col min="12656" max="12656" width="10.7109375" style="8" customWidth="1"/>
    <col min="12657" max="12657" width="23.28515625" style="8" bestFit="1" customWidth="1"/>
    <col min="12658" max="12668" width="13.7109375" style="8" customWidth="1"/>
    <col min="12669" max="12669" width="5" style="8" customWidth="1"/>
    <col min="12670" max="12670" width="9.28515625" style="8" customWidth="1"/>
    <col min="12671" max="12671" width="23.28515625" style="8" bestFit="1" customWidth="1"/>
    <col min="12672" max="12674" width="11.28515625" style="8" bestFit="1" customWidth="1"/>
    <col min="12675" max="12675" width="3" style="8" customWidth="1"/>
    <col min="12676" max="12676" width="8.42578125" style="8" customWidth="1"/>
    <col min="12677" max="12677" width="23.28515625" style="8" bestFit="1" customWidth="1"/>
    <col min="12678" max="12691" width="11.85546875" style="8" customWidth="1"/>
    <col min="12692" max="12692" width="15.5703125" style="8" bestFit="1" customWidth="1"/>
    <col min="12693" max="12693" width="4.28515625" style="8" customWidth="1"/>
    <col min="12694" max="12694" width="10.7109375" style="8" customWidth="1"/>
    <col min="12695" max="12695" width="23.28515625" style="8" bestFit="1" customWidth="1"/>
    <col min="12696" max="12705" width="11.28515625" style="8" customWidth="1"/>
    <col min="12706" max="12706" width="23.28515625" style="8" bestFit="1" customWidth="1"/>
    <col min="12707" max="12711" width="11.28515625" style="8" customWidth="1"/>
    <col min="12712" max="12806" width="11.5703125" style="8"/>
    <col min="12807" max="12807" width="9.85546875" style="8" customWidth="1"/>
    <col min="12808" max="12808" width="23.28515625" style="8" bestFit="1" customWidth="1"/>
    <col min="12809" max="12826" width="11" style="8" customWidth="1"/>
    <col min="12827" max="12827" width="10.140625" style="8" customWidth="1"/>
    <col min="12828" max="12828" width="23.28515625" style="8" bestFit="1" customWidth="1"/>
    <col min="12829" max="12837" width="11.5703125" style="8" customWidth="1"/>
    <col min="12838" max="12838" width="5.7109375" style="8" customWidth="1"/>
    <col min="12839" max="12839" width="11.5703125" style="8" customWidth="1"/>
    <col min="12840" max="12840" width="23.28515625" style="8" bestFit="1" customWidth="1"/>
    <col min="12841" max="12854" width="11.85546875" style="8" customWidth="1"/>
    <col min="12855" max="12855" width="9.7109375" style="8" customWidth="1"/>
    <col min="12856" max="12856" width="23.28515625" style="8" bestFit="1" customWidth="1"/>
    <col min="12857" max="12872" width="11.7109375" style="8" customWidth="1"/>
    <col min="12873" max="12873" width="4.42578125" style="8" customWidth="1"/>
    <col min="12874" max="12874" width="8.7109375" style="8" customWidth="1"/>
    <col min="12875" max="12875" width="23.28515625" style="8" bestFit="1" customWidth="1"/>
    <col min="12876" max="12887" width="11.28515625" style="8" customWidth="1"/>
    <col min="12888" max="12888" width="5.28515625" style="8" customWidth="1"/>
    <col min="12889" max="12889" width="9.5703125" style="8" customWidth="1"/>
    <col min="12890" max="12890" width="23.28515625" style="8" bestFit="1" customWidth="1"/>
    <col min="12891" max="12897" width="15.42578125" style="8" customWidth="1"/>
    <col min="12898" max="12898" width="6.7109375" style="8" customWidth="1"/>
    <col min="12899" max="12899" width="9" style="8" customWidth="1"/>
    <col min="12900" max="12900" width="23.28515625" style="8" bestFit="1" customWidth="1"/>
    <col min="12901" max="12910" width="11.140625" style="8" customWidth="1"/>
    <col min="12911" max="12911" width="6.7109375" style="8" customWidth="1"/>
    <col min="12912" max="12912" width="10.7109375" style="8" customWidth="1"/>
    <col min="12913" max="12913" width="23.28515625" style="8" bestFit="1" customWidth="1"/>
    <col min="12914" max="12924" width="13.7109375" style="8" customWidth="1"/>
    <col min="12925" max="12925" width="5" style="8" customWidth="1"/>
    <col min="12926" max="12926" width="9.28515625" style="8" customWidth="1"/>
    <col min="12927" max="12927" width="23.28515625" style="8" bestFit="1" customWidth="1"/>
    <col min="12928" max="12930" width="11.28515625" style="8" bestFit="1" customWidth="1"/>
    <col min="12931" max="12931" width="3" style="8" customWidth="1"/>
    <col min="12932" max="12932" width="8.42578125" style="8" customWidth="1"/>
    <col min="12933" max="12933" width="23.28515625" style="8" bestFit="1" customWidth="1"/>
    <col min="12934" max="12947" width="11.85546875" style="8" customWidth="1"/>
    <col min="12948" max="12948" width="15.5703125" style="8" bestFit="1" customWidth="1"/>
    <col min="12949" max="12949" width="4.28515625" style="8" customWidth="1"/>
    <col min="12950" max="12950" width="10.7109375" style="8" customWidth="1"/>
    <col min="12951" max="12951" width="23.28515625" style="8" bestFit="1" customWidth="1"/>
    <col min="12952" max="12961" width="11.28515625" style="8" customWidth="1"/>
    <col min="12962" max="12962" width="23.28515625" style="8" bestFit="1" customWidth="1"/>
    <col min="12963" max="12967" width="11.28515625" style="8" customWidth="1"/>
    <col min="12968" max="13062" width="11.5703125" style="8"/>
    <col min="13063" max="13063" width="9.85546875" style="8" customWidth="1"/>
    <col min="13064" max="13064" width="23.28515625" style="8" bestFit="1" customWidth="1"/>
    <col min="13065" max="13082" width="11" style="8" customWidth="1"/>
    <col min="13083" max="13083" width="10.140625" style="8" customWidth="1"/>
    <col min="13084" max="13084" width="23.28515625" style="8" bestFit="1" customWidth="1"/>
    <col min="13085" max="13093" width="11.5703125" style="8" customWidth="1"/>
    <col min="13094" max="13094" width="5.7109375" style="8" customWidth="1"/>
    <col min="13095" max="13095" width="11.5703125" style="8" customWidth="1"/>
    <col min="13096" max="13096" width="23.28515625" style="8" bestFit="1" customWidth="1"/>
    <col min="13097" max="13110" width="11.85546875" style="8" customWidth="1"/>
    <col min="13111" max="13111" width="9.7109375" style="8" customWidth="1"/>
    <col min="13112" max="13112" width="23.28515625" style="8" bestFit="1" customWidth="1"/>
    <col min="13113" max="13128" width="11.7109375" style="8" customWidth="1"/>
    <col min="13129" max="13129" width="4.42578125" style="8" customWidth="1"/>
    <col min="13130" max="13130" width="8.7109375" style="8" customWidth="1"/>
    <col min="13131" max="13131" width="23.28515625" style="8" bestFit="1" customWidth="1"/>
    <col min="13132" max="13143" width="11.28515625" style="8" customWidth="1"/>
    <col min="13144" max="13144" width="5.28515625" style="8" customWidth="1"/>
    <col min="13145" max="13145" width="9.5703125" style="8" customWidth="1"/>
    <col min="13146" max="13146" width="23.28515625" style="8" bestFit="1" customWidth="1"/>
    <col min="13147" max="13153" width="15.42578125" style="8" customWidth="1"/>
    <col min="13154" max="13154" width="6.7109375" style="8" customWidth="1"/>
    <col min="13155" max="13155" width="9" style="8" customWidth="1"/>
    <col min="13156" max="13156" width="23.28515625" style="8" bestFit="1" customWidth="1"/>
    <col min="13157" max="13166" width="11.140625" style="8" customWidth="1"/>
    <col min="13167" max="13167" width="6.7109375" style="8" customWidth="1"/>
    <col min="13168" max="13168" width="10.7109375" style="8" customWidth="1"/>
    <col min="13169" max="13169" width="23.28515625" style="8" bestFit="1" customWidth="1"/>
    <col min="13170" max="13180" width="13.7109375" style="8" customWidth="1"/>
    <col min="13181" max="13181" width="5" style="8" customWidth="1"/>
    <col min="13182" max="13182" width="9.28515625" style="8" customWidth="1"/>
    <col min="13183" max="13183" width="23.28515625" style="8" bestFit="1" customWidth="1"/>
    <col min="13184" max="13186" width="11.28515625" style="8" bestFit="1" customWidth="1"/>
    <col min="13187" max="13187" width="3" style="8" customWidth="1"/>
    <col min="13188" max="13188" width="8.42578125" style="8" customWidth="1"/>
    <col min="13189" max="13189" width="23.28515625" style="8" bestFit="1" customWidth="1"/>
    <col min="13190" max="13203" width="11.85546875" style="8" customWidth="1"/>
    <col min="13204" max="13204" width="15.5703125" style="8" bestFit="1" customWidth="1"/>
    <col min="13205" max="13205" width="4.28515625" style="8" customWidth="1"/>
    <col min="13206" max="13206" width="10.7109375" style="8" customWidth="1"/>
    <col min="13207" max="13207" width="23.28515625" style="8" bestFit="1" customWidth="1"/>
    <col min="13208" max="13217" width="11.28515625" style="8" customWidth="1"/>
    <col min="13218" max="13218" width="23.28515625" style="8" bestFit="1" customWidth="1"/>
    <col min="13219" max="13223" width="11.28515625" style="8" customWidth="1"/>
    <col min="13224" max="13318" width="11.5703125" style="8"/>
    <col min="13319" max="13319" width="9.85546875" style="8" customWidth="1"/>
    <col min="13320" max="13320" width="23.28515625" style="8" bestFit="1" customWidth="1"/>
    <col min="13321" max="13338" width="11" style="8" customWidth="1"/>
    <col min="13339" max="13339" width="10.140625" style="8" customWidth="1"/>
    <col min="13340" max="13340" width="23.28515625" style="8" bestFit="1" customWidth="1"/>
    <col min="13341" max="13349" width="11.5703125" style="8" customWidth="1"/>
    <col min="13350" max="13350" width="5.7109375" style="8" customWidth="1"/>
    <col min="13351" max="13351" width="11.5703125" style="8" customWidth="1"/>
    <col min="13352" max="13352" width="23.28515625" style="8" bestFit="1" customWidth="1"/>
    <col min="13353" max="13366" width="11.85546875" style="8" customWidth="1"/>
    <col min="13367" max="13367" width="9.7109375" style="8" customWidth="1"/>
    <col min="13368" max="13368" width="23.28515625" style="8" bestFit="1" customWidth="1"/>
    <col min="13369" max="13384" width="11.7109375" style="8" customWidth="1"/>
    <col min="13385" max="13385" width="4.42578125" style="8" customWidth="1"/>
    <col min="13386" max="13386" width="8.7109375" style="8" customWidth="1"/>
    <col min="13387" max="13387" width="23.28515625" style="8" bestFit="1" customWidth="1"/>
    <col min="13388" max="13399" width="11.28515625" style="8" customWidth="1"/>
    <col min="13400" max="13400" width="5.28515625" style="8" customWidth="1"/>
    <col min="13401" max="13401" width="9.5703125" style="8" customWidth="1"/>
    <col min="13402" max="13402" width="23.28515625" style="8" bestFit="1" customWidth="1"/>
    <col min="13403" max="13409" width="15.42578125" style="8" customWidth="1"/>
    <col min="13410" max="13410" width="6.7109375" style="8" customWidth="1"/>
    <col min="13411" max="13411" width="9" style="8" customWidth="1"/>
    <col min="13412" max="13412" width="23.28515625" style="8" bestFit="1" customWidth="1"/>
    <col min="13413" max="13422" width="11.140625" style="8" customWidth="1"/>
    <col min="13423" max="13423" width="6.7109375" style="8" customWidth="1"/>
    <col min="13424" max="13424" width="10.7109375" style="8" customWidth="1"/>
    <col min="13425" max="13425" width="23.28515625" style="8" bestFit="1" customWidth="1"/>
    <col min="13426" max="13436" width="13.7109375" style="8" customWidth="1"/>
    <col min="13437" max="13437" width="5" style="8" customWidth="1"/>
    <col min="13438" max="13438" width="9.28515625" style="8" customWidth="1"/>
    <col min="13439" max="13439" width="23.28515625" style="8" bestFit="1" customWidth="1"/>
    <col min="13440" max="13442" width="11.28515625" style="8" bestFit="1" customWidth="1"/>
    <col min="13443" max="13443" width="3" style="8" customWidth="1"/>
    <col min="13444" max="13444" width="8.42578125" style="8" customWidth="1"/>
    <col min="13445" max="13445" width="23.28515625" style="8" bestFit="1" customWidth="1"/>
    <col min="13446" max="13459" width="11.85546875" style="8" customWidth="1"/>
    <col min="13460" max="13460" width="15.5703125" style="8" bestFit="1" customWidth="1"/>
    <col min="13461" max="13461" width="4.28515625" style="8" customWidth="1"/>
    <col min="13462" max="13462" width="10.7109375" style="8" customWidth="1"/>
    <col min="13463" max="13463" width="23.28515625" style="8" bestFit="1" customWidth="1"/>
    <col min="13464" max="13473" width="11.28515625" style="8" customWidth="1"/>
    <col min="13474" max="13474" width="23.28515625" style="8" bestFit="1" customWidth="1"/>
    <col min="13475" max="13479" width="11.28515625" style="8" customWidth="1"/>
    <col min="13480" max="13574" width="11.5703125" style="8"/>
    <col min="13575" max="13575" width="9.85546875" style="8" customWidth="1"/>
    <col min="13576" max="13576" width="23.28515625" style="8" bestFit="1" customWidth="1"/>
    <col min="13577" max="13594" width="11" style="8" customWidth="1"/>
    <col min="13595" max="13595" width="10.140625" style="8" customWidth="1"/>
    <col min="13596" max="13596" width="23.28515625" style="8" bestFit="1" customWidth="1"/>
    <col min="13597" max="13605" width="11.5703125" style="8" customWidth="1"/>
    <col min="13606" max="13606" width="5.7109375" style="8" customWidth="1"/>
    <col min="13607" max="13607" width="11.5703125" style="8" customWidth="1"/>
    <col min="13608" max="13608" width="23.28515625" style="8" bestFit="1" customWidth="1"/>
    <col min="13609" max="13622" width="11.85546875" style="8" customWidth="1"/>
    <col min="13623" max="13623" width="9.7109375" style="8" customWidth="1"/>
    <col min="13624" max="13624" width="23.28515625" style="8" bestFit="1" customWidth="1"/>
    <col min="13625" max="13640" width="11.7109375" style="8" customWidth="1"/>
    <col min="13641" max="13641" width="4.42578125" style="8" customWidth="1"/>
    <col min="13642" max="13642" width="8.7109375" style="8" customWidth="1"/>
    <col min="13643" max="13643" width="23.28515625" style="8" bestFit="1" customWidth="1"/>
    <col min="13644" max="13655" width="11.28515625" style="8" customWidth="1"/>
    <col min="13656" max="13656" width="5.28515625" style="8" customWidth="1"/>
    <col min="13657" max="13657" width="9.5703125" style="8" customWidth="1"/>
    <col min="13658" max="13658" width="23.28515625" style="8" bestFit="1" customWidth="1"/>
    <col min="13659" max="13665" width="15.42578125" style="8" customWidth="1"/>
    <col min="13666" max="13666" width="6.7109375" style="8" customWidth="1"/>
    <col min="13667" max="13667" width="9" style="8" customWidth="1"/>
    <col min="13668" max="13668" width="23.28515625" style="8" bestFit="1" customWidth="1"/>
    <col min="13669" max="13678" width="11.140625" style="8" customWidth="1"/>
    <col min="13679" max="13679" width="6.7109375" style="8" customWidth="1"/>
    <col min="13680" max="13680" width="10.7109375" style="8" customWidth="1"/>
    <col min="13681" max="13681" width="23.28515625" style="8" bestFit="1" customWidth="1"/>
    <col min="13682" max="13692" width="13.7109375" style="8" customWidth="1"/>
    <col min="13693" max="13693" width="5" style="8" customWidth="1"/>
    <col min="13694" max="13694" width="9.28515625" style="8" customWidth="1"/>
    <col min="13695" max="13695" width="23.28515625" style="8" bestFit="1" customWidth="1"/>
    <col min="13696" max="13698" width="11.28515625" style="8" bestFit="1" customWidth="1"/>
    <col min="13699" max="13699" width="3" style="8" customWidth="1"/>
    <col min="13700" max="13700" width="8.42578125" style="8" customWidth="1"/>
    <col min="13701" max="13701" width="23.28515625" style="8" bestFit="1" customWidth="1"/>
    <col min="13702" max="13715" width="11.85546875" style="8" customWidth="1"/>
    <col min="13716" max="13716" width="15.5703125" style="8" bestFit="1" customWidth="1"/>
    <col min="13717" max="13717" width="4.28515625" style="8" customWidth="1"/>
    <col min="13718" max="13718" width="10.7109375" style="8" customWidth="1"/>
    <col min="13719" max="13719" width="23.28515625" style="8" bestFit="1" customWidth="1"/>
    <col min="13720" max="13729" width="11.28515625" style="8" customWidth="1"/>
    <col min="13730" max="13730" width="23.28515625" style="8" bestFit="1" customWidth="1"/>
    <col min="13731" max="13735" width="11.28515625" style="8" customWidth="1"/>
    <col min="13736" max="13830" width="11.5703125" style="8"/>
    <col min="13831" max="13831" width="9.85546875" style="8" customWidth="1"/>
    <col min="13832" max="13832" width="23.28515625" style="8" bestFit="1" customWidth="1"/>
    <col min="13833" max="13850" width="11" style="8" customWidth="1"/>
    <col min="13851" max="13851" width="10.140625" style="8" customWidth="1"/>
    <col min="13852" max="13852" width="23.28515625" style="8" bestFit="1" customWidth="1"/>
    <col min="13853" max="13861" width="11.5703125" style="8" customWidth="1"/>
    <col min="13862" max="13862" width="5.7109375" style="8" customWidth="1"/>
    <col min="13863" max="13863" width="11.5703125" style="8" customWidth="1"/>
    <col min="13864" max="13864" width="23.28515625" style="8" bestFit="1" customWidth="1"/>
    <col min="13865" max="13878" width="11.85546875" style="8" customWidth="1"/>
    <col min="13879" max="13879" width="9.7109375" style="8" customWidth="1"/>
    <col min="13880" max="13880" width="23.28515625" style="8" bestFit="1" customWidth="1"/>
    <col min="13881" max="13896" width="11.7109375" style="8" customWidth="1"/>
    <col min="13897" max="13897" width="4.42578125" style="8" customWidth="1"/>
    <col min="13898" max="13898" width="8.7109375" style="8" customWidth="1"/>
    <col min="13899" max="13899" width="23.28515625" style="8" bestFit="1" customWidth="1"/>
    <col min="13900" max="13911" width="11.28515625" style="8" customWidth="1"/>
    <col min="13912" max="13912" width="5.28515625" style="8" customWidth="1"/>
    <col min="13913" max="13913" width="9.5703125" style="8" customWidth="1"/>
    <col min="13914" max="13914" width="23.28515625" style="8" bestFit="1" customWidth="1"/>
    <col min="13915" max="13921" width="15.42578125" style="8" customWidth="1"/>
    <col min="13922" max="13922" width="6.7109375" style="8" customWidth="1"/>
    <col min="13923" max="13923" width="9" style="8" customWidth="1"/>
    <col min="13924" max="13924" width="23.28515625" style="8" bestFit="1" customWidth="1"/>
    <col min="13925" max="13934" width="11.140625" style="8" customWidth="1"/>
    <col min="13935" max="13935" width="6.7109375" style="8" customWidth="1"/>
    <col min="13936" max="13936" width="10.7109375" style="8" customWidth="1"/>
    <col min="13937" max="13937" width="23.28515625" style="8" bestFit="1" customWidth="1"/>
    <col min="13938" max="13948" width="13.7109375" style="8" customWidth="1"/>
    <col min="13949" max="13949" width="5" style="8" customWidth="1"/>
    <col min="13950" max="13950" width="9.28515625" style="8" customWidth="1"/>
    <col min="13951" max="13951" width="23.28515625" style="8" bestFit="1" customWidth="1"/>
    <col min="13952" max="13954" width="11.28515625" style="8" bestFit="1" customWidth="1"/>
    <col min="13955" max="13955" width="3" style="8" customWidth="1"/>
    <col min="13956" max="13956" width="8.42578125" style="8" customWidth="1"/>
    <col min="13957" max="13957" width="23.28515625" style="8" bestFit="1" customWidth="1"/>
    <col min="13958" max="13971" width="11.85546875" style="8" customWidth="1"/>
    <col min="13972" max="13972" width="15.5703125" style="8" bestFit="1" customWidth="1"/>
    <col min="13973" max="13973" width="4.28515625" style="8" customWidth="1"/>
    <col min="13974" max="13974" width="10.7109375" style="8" customWidth="1"/>
    <col min="13975" max="13975" width="23.28515625" style="8" bestFit="1" customWidth="1"/>
    <col min="13976" max="13985" width="11.28515625" style="8" customWidth="1"/>
    <col min="13986" max="13986" width="23.28515625" style="8" bestFit="1" customWidth="1"/>
    <col min="13987" max="13991" width="11.28515625" style="8" customWidth="1"/>
    <col min="13992" max="14086" width="11.5703125" style="8"/>
    <col min="14087" max="14087" width="9.85546875" style="8" customWidth="1"/>
    <col min="14088" max="14088" width="23.28515625" style="8" bestFit="1" customWidth="1"/>
    <col min="14089" max="14106" width="11" style="8" customWidth="1"/>
    <col min="14107" max="14107" width="10.140625" style="8" customWidth="1"/>
    <col min="14108" max="14108" width="23.28515625" style="8" bestFit="1" customWidth="1"/>
    <col min="14109" max="14117" width="11.5703125" style="8" customWidth="1"/>
    <col min="14118" max="14118" width="5.7109375" style="8" customWidth="1"/>
    <col min="14119" max="14119" width="11.5703125" style="8" customWidth="1"/>
    <col min="14120" max="14120" width="23.28515625" style="8" bestFit="1" customWidth="1"/>
    <col min="14121" max="14134" width="11.85546875" style="8" customWidth="1"/>
    <col min="14135" max="14135" width="9.7109375" style="8" customWidth="1"/>
    <col min="14136" max="14136" width="23.28515625" style="8" bestFit="1" customWidth="1"/>
    <col min="14137" max="14152" width="11.7109375" style="8" customWidth="1"/>
    <col min="14153" max="14153" width="4.42578125" style="8" customWidth="1"/>
    <col min="14154" max="14154" width="8.7109375" style="8" customWidth="1"/>
    <col min="14155" max="14155" width="23.28515625" style="8" bestFit="1" customWidth="1"/>
    <col min="14156" max="14167" width="11.28515625" style="8" customWidth="1"/>
    <col min="14168" max="14168" width="5.28515625" style="8" customWidth="1"/>
    <col min="14169" max="14169" width="9.5703125" style="8" customWidth="1"/>
    <col min="14170" max="14170" width="23.28515625" style="8" bestFit="1" customWidth="1"/>
    <col min="14171" max="14177" width="15.42578125" style="8" customWidth="1"/>
    <col min="14178" max="14178" width="6.7109375" style="8" customWidth="1"/>
    <col min="14179" max="14179" width="9" style="8" customWidth="1"/>
    <col min="14180" max="14180" width="23.28515625" style="8" bestFit="1" customWidth="1"/>
    <col min="14181" max="14190" width="11.140625" style="8" customWidth="1"/>
    <col min="14191" max="14191" width="6.7109375" style="8" customWidth="1"/>
    <col min="14192" max="14192" width="10.7109375" style="8" customWidth="1"/>
    <col min="14193" max="14193" width="23.28515625" style="8" bestFit="1" customWidth="1"/>
    <col min="14194" max="14204" width="13.7109375" style="8" customWidth="1"/>
    <col min="14205" max="14205" width="5" style="8" customWidth="1"/>
    <col min="14206" max="14206" width="9.28515625" style="8" customWidth="1"/>
    <col min="14207" max="14207" width="23.28515625" style="8" bestFit="1" customWidth="1"/>
    <col min="14208" max="14210" width="11.28515625" style="8" bestFit="1" customWidth="1"/>
    <col min="14211" max="14211" width="3" style="8" customWidth="1"/>
    <col min="14212" max="14212" width="8.42578125" style="8" customWidth="1"/>
    <col min="14213" max="14213" width="23.28515625" style="8" bestFit="1" customWidth="1"/>
    <col min="14214" max="14227" width="11.85546875" style="8" customWidth="1"/>
    <col min="14228" max="14228" width="15.5703125" style="8" bestFit="1" customWidth="1"/>
    <col min="14229" max="14229" width="4.28515625" style="8" customWidth="1"/>
    <col min="14230" max="14230" width="10.7109375" style="8" customWidth="1"/>
    <col min="14231" max="14231" width="23.28515625" style="8" bestFit="1" customWidth="1"/>
    <col min="14232" max="14241" width="11.28515625" style="8" customWidth="1"/>
    <col min="14242" max="14242" width="23.28515625" style="8" bestFit="1" customWidth="1"/>
    <col min="14243" max="14247" width="11.28515625" style="8" customWidth="1"/>
    <col min="14248" max="14342" width="11.5703125" style="8"/>
    <col min="14343" max="14343" width="9.85546875" style="8" customWidth="1"/>
    <col min="14344" max="14344" width="23.28515625" style="8" bestFit="1" customWidth="1"/>
    <col min="14345" max="14362" width="11" style="8" customWidth="1"/>
    <col min="14363" max="14363" width="10.140625" style="8" customWidth="1"/>
    <col min="14364" max="14364" width="23.28515625" style="8" bestFit="1" customWidth="1"/>
    <col min="14365" max="14373" width="11.5703125" style="8" customWidth="1"/>
    <col min="14374" max="14374" width="5.7109375" style="8" customWidth="1"/>
    <col min="14375" max="14375" width="11.5703125" style="8" customWidth="1"/>
    <col min="14376" max="14376" width="23.28515625" style="8" bestFit="1" customWidth="1"/>
    <col min="14377" max="14390" width="11.85546875" style="8" customWidth="1"/>
    <col min="14391" max="14391" width="9.7109375" style="8" customWidth="1"/>
    <col min="14392" max="14392" width="23.28515625" style="8" bestFit="1" customWidth="1"/>
    <col min="14393" max="14408" width="11.7109375" style="8" customWidth="1"/>
    <col min="14409" max="14409" width="4.42578125" style="8" customWidth="1"/>
    <col min="14410" max="14410" width="8.7109375" style="8" customWidth="1"/>
    <col min="14411" max="14411" width="23.28515625" style="8" bestFit="1" customWidth="1"/>
    <col min="14412" max="14423" width="11.28515625" style="8" customWidth="1"/>
    <col min="14424" max="14424" width="5.28515625" style="8" customWidth="1"/>
    <col min="14425" max="14425" width="9.5703125" style="8" customWidth="1"/>
    <col min="14426" max="14426" width="23.28515625" style="8" bestFit="1" customWidth="1"/>
    <col min="14427" max="14433" width="15.42578125" style="8" customWidth="1"/>
    <col min="14434" max="14434" width="6.7109375" style="8" customWidth="1"/>
    <col min="14435" max="14435" width="9" style="8" customWidth="1"/>
    <col min="14436" max="14436" width="23.28515625" style="8" bestFit="1" customWidth="1"/>
    <col min="14437" max="14446" width="11.140625" style="8" customWidth="1"/>
    <col min="14447" max="14447" width="6.7109375" style="8" customWidth="1"/>
    <col min="14448" max="14448" width="10.7109375" style="8" customWidth="1"/>
    <col min="14449" max="14449" width="23.28515625" style="8" bestFit="1" customWidth="1"/>
    <col min="14450" max="14460" width="13.7109375" style="8" customWidth="1"/>
    <col min="14461" max="14461" width="5" style="8" customWidth="1"/>
    <col min="14462" max="14462" width="9.28515625" style="8" customWidth="1"/>
    <col min="14463" max="14463" width="23.28515625" style="8" bestFit="1" customWidth="1"/>
    <col min="14464" max="14466" width="11.28515625" style="8" bestFit="1" customWidth="1"/>
    <col min="14467" max="14467" width="3" style="8" customWidth="1"/>
    <col min="14468" max="14468" width="8.42578125" style="8" customWidth="1"/>
    <col min="14469" max="14469" width="23.28515625" style="8" bestFit="1" customWidth="1"/>
    <col min="14470" max="14483" width="11.85546875" style="8" customWidth="1"/>
    <col min="14484" max="14484" width="15.5703125" style="8" bestFit="1" customWidth="1"/>
    <col min="14485" max="14485" width="4.28515625" style="8" customWidth="1"/>
    <col min="14486" max="14486" width="10.7109375" style="8" customWidth="1"/>
    <col min="14487" max="14487" width="23.28515625" style="8" bestFit="1" customWidth="1"/>
    <col min="14488" max="14497" width="11.28515625" style="8" customWidth="1"/>
    <col min="14498" max="14498" width="23.28515625" style="8" bestFit="1" customWidth="1"/>
    <col min="14499" max="14503" width="11.28515625" style="8" customWidth="1"/>
    <col min="14504" max="14598" width="11.5703125" style="8"/>
    <col min="14599" max="14599" width="9.85546875" style="8" customWidth="1"/>
    <col min="14600" max="14600" width="23.28515625" style="8" bestFit="1" customWidth="1"/>
    <col min="14601" max="14618" width="11" style="8" customWidth="1"/>
    <col min="14619" max="14619" width="10.140625" style="8" customWidth="1"/>
    <col min="14620" max="14620" width="23.28515625" style="8" bestFit="1" customWidth="1"/>
    <col min="14621" max="14629" width="11.5703125" style="8" customWidth="1"/>
    <col min="14630" max="14630" width="5.7109375" style="8" customWidth="1"/>
    <col min="14631" max="14631" width="11.5703125" style="8" customWidth="1"/>
    <col min="14632" max="14632" width="23.28515625" style="8" bestFit="1" customWidth="1"/>
    <col min="14633" max="14646" width="11.85546875" style="8" customWidth="1"/>
    <col min="14647" max="14647" width="9.7109375" style="8" customWidth="1"/>
    <col min="14648" max="14648" width="23.28515625" style="8" bestFit="1" customWidth="1"/>
    <col min="14649" max="14664" width="11.7109375" style="8" customWidth="1"/>
    <col min="14665" max="14665" width="4.42578125" style="8" customWidth="1"/>
    <col min="14666" max="14666" width="8.7109375" style="8" customWidth="1"/>
    <col min="14667" max="14667" width="23.28515625" style="8" bestFit="1" customWidth="1"/>
    <col min="14668" max="14679" width="11.28515625" style="8" customWidth="1"/>
    <col min="14680" max="14680" width="5.28515625" style="8" customWidth="1"/>
    <col min="14681" max="14681" width="9.5703125" style="8" customWidth="1"/>
    <col min="14682" max="14682" width="23.28515625" style="8" bestFit="1" customWidth="1"/>
    <col min="14683" max="14689" width="15.42578125" style="8" customWidth="1"/>
    <col min="14690" max="14690" width="6.7109375" style="8" customWidth="1"/>
    <col min="14691" max="14691" width="9" style="8" customWidth="1"/>
    <col min="14692" max="14692" width="23.28515625" style="8" bestFit="1" customWidth="1"/>
    <col min="14693" max="14702" width="11.140625" style="8" customWidth="1"/>
    <col min="14703" max="14703" width="6.7109375" style="8" customWidth="1"/>
    <col min="14704" max="14704" width="10.7109375" style="8" customWidth="1"/>
    <col min="14705" max="14705" width="23.28515625" style="8" bestFit="1" customWidth="1"/>
    <col min="14706" max="14716" width="13.7109375" style="8" customWidth="1"/>
    <col min="14717" max="14717" width="5" style="8" customWidth="1"/>
    <col min="14718" max="14718" width="9.28515625" style="8" customWidth="1"/>
    <col min="14719" max="14719" width="23.28515625" style="8" bestFit="1" customWidth="1"/>
    <col min="14720" max="14722" width="11.28515625" style="8" bestFit="1" customWidth="1"/>
    <col min="14723" max="14723" width="3" style="8" customWidth="1"/>
    <col min="14724" max="14724" width="8.42578125" style="8" customWidth="1"/>
    <col min="14725" max="14725" width="23.28515625" style="8" bestFit="1" customWidth="1"/>
    <col min="14726" max="14739" width="11.85546875" style="8" customWidth="1"/>
    <col min="14740" max="14740" width="15.5703125" style="8" bestFit="1" customWidth="1"/>
    <col min="14741" max="14741" width="4.28515625" style="8" customWidth="1"/>
    <col min="14742" max="14742" width="10.7109375" style="8" customWidth="1"/>
    <col min="14743" max="14743" width="23.28515625" style="8" bestFit="1" customWidth="1"/>
    <col min="14744" max="14753" width="11.28515625" style="8" customWidth="1"/>
    <col min="14754" max="14754" width="23.28515625" style="8" bestFit="1" customWidth="1"/>
    <col min="14755" max="14759" width="11.28515625" style="8" customWidth="1"/>
    <col min="14760" max="14854" width="11.5703125" style="8"/>
    <col min="14855" max="14855" width="9.85546875" style="8" customWidth="1"/>
    <col min="14856" max="14856" width="23.28515625" style="8" bestFit="1" customWidth="1"/>
    <col min="14857" max="14874" width="11" style="8" customWidth="1"/>
    <col min="14875" max="14875" width="10.140625" style="8" customWidth="1"/>
    <col min="14876" max="14876" width="23.28515625" style="8" bestFit="1" customWidth="1"/>
    <col min="14877" max="14885" width="11.5703125" style="8" customWidth="1"/>
    <col min="14886" max="14886" width="5.7109375" style="8" customWidth="1"/>
    <col min="14887" max="14887" width="11.5703125" style="8" customWidth="1"/>
    <col min="14888" max="14888" width="23.28515625" style="8" bestFit="1" customWidth="1"/>
    <col min="14889" max="14902" width="11.85546875" style="8" customWidth="1"/>
    <col min="14903" max="14903" width="9.7109375" style="8" customWidth="1"/>
    <col min="14904" max="14904" width="23.28515625" style="8" bestFit="1" customWidth="1"/>
    <col min="14905" max="14920" width="11.7109375" style="8" customWidth="1"/>
    <col min="14921" max="14921" width="4.42578125" style="8" customWidth="1"/>
    <col min="14922" max="14922" width="8.7109375" style="8" customWidth="1"/>
    <col min="14923" max="14923" width="23.28515625" style="8" bestFit="1" customWidth="1"/>
    <col min="14924" max="14935" width="11.28515625" style="8" customWidth="1"/>
    <col min="14936" max="14936" width="5.28515625" style="8" customWidth="1"/>
    <col min="14937" max="14937" width="9.5703125" style="8" customWidth="1"/>
    <col min="14938" max="14938" width="23.28515625" style="8" bestFit="1" customWidth="1"/>
    <col min="14939" max="14945" width="15.42578125" style="8" customWidth="1"/>
    <col min="14946" max="14946" width="6.7109375" style="8" customWidth="1"/>
    <col min="14947" max="14947" width="9" style="8" customWidth="1"/>
    <col min="14948" max="14948" width="23.28515625" style="8" bestFit="1" customWidth="1"/>
    <col min="14949" max="14958" width="11.140625" style="8" customWidth="1"/>
    <col min="14959" max="14959" width="6.7109375" style="8" customWidth="1"/>
    <col min="14960" max="14960" width="10.7109375" style="8" customWidth="1"/>
    <col min="14961" max="14961" width="23.28515625" style="8" bestFit="1" customWidth="1"/>
    <col min="14962" max="14972" width="13.7109375" style="8" customWidth="1"/>
    <col min="14973" max="14973" width="5" style="8" customWidth="1"/>
    <col min="14974" max="14974" width="9.28515625" style="8" customWidth="1"/>
    <col min="14975" max="14975" width="23.28515625" style="8" bestFit="1" customWidth="1"/>
    <col min="14976" max="14978" width="11.28515625" style="8" bestFit="1" customWidth="1"/>
    <col min="14979" max="14979" width="3" style="8" customWidth="1"/>
    <col min="14980" max="14980" width="8.42578125" style="8" customWidth="1"/>
    <col min="14981" max="14981" width="23.28515625" style="8" bestFit="1" customWidth="1"/>
    <col min="14982" max="14995" width="11.85546875" style="8" customWidth="1"/>
    <col min="14996" max="14996" width="15.5703125" style="8" bestFit="1" customWidth="1"/>
    <col min="14997" max="14997" width="4.28515625" style="8" customWidth="1"/>
    <col min="14998" max="14998" width="10.7109375" style="8" customWidth="1"/>
    <col min="14999" max="14999" width="23.28515625" style="8" bestFit="1" customWidth="1"/>
    <col min="15000" max="15009" width="11.28515625" style="8" customWidth="1"/>
    <col min="15010" max="15010" width="23.28515625" style="8" bestFit="1" customWidth="1"/>
    <col min="15011" max="15015" width="11.28515625" style="8" customWidth="1"/>
    <col min="15016" max="15110" width="11.5703125" style="8"/>
    <col min="15111" max="15111" width="9.85546875" style="8" customWidth="1"/>
    <col min="15112" max="15112" width="23.28515625" style="8" bestFit="1" customWidth="1"/>
    <col min="15113" max="15130" width="11" style="8" customWidth="1"/>
    <col min="15131" max="15131" width="10.140625" style="8" customWidth="1"/>
    <col min="15132" max="15132" width="23.28515625" style="8" bestFit="1" customWidth="1"/>
    <col min="15133" max="15141" width="11.5703125" style="8" customWidth="1"/>
    <col min="15142" max="15142" width="5.7109375" style="8" customWidth="1"/>
    <col min="15143" max="15143" width="11.5703125" style="8" customWidth="1"/>
    <col min="15144" max="15144" width="23.28515625" style="8" bestFit="1" customWidth="1"/>
    <col min="15145" max="15158" width="11.85546875" style="8" customWidth="1"/>
    <col min="15159" max="15159" width="9.7109375" style="8" customWidth="1"/>
    <col min="15160" max="15160" width="23.28515625" style="8" bestFit="1" customWidth="1"/>
    <col min="15161" max="15176" width="11.7109375" style="8" customWidth="1"/>
    <col min="15177" max="15177" width="4.42578125" style="8" customWidth="1"/>
    <col min="15178" max="15178" width="8.7109375" style="8" customWidth="1"/>
    <col min="15179" max="15179" width="23.28515625" style="8" bestFit="1" customWidth="1"/>
    <col min="15180" max="15191" width="11.28515625" style="8" customWidth="1"/>
    <col min="15192" max="15192" width="5.28515625" style="8" customWidth="1"/>
    <col min="15193" max="15193" width="9.5703125" style="8" customWidth="1"/>
    <col min="15194" max="15194" width="23.28515625" style="8" bestFit="1" customWidth="1"/>
    <col min="15195" max="15201" width="15.42578125" style="8" customWidth="1"/>
    <col min="15202" max="15202" width="6.7109375" style="8" customWidth="1"/>
    <col min="15203" max="15203" width="9" style="8" customWidth="1"/>
    <col min="15204" max="15204" width="23.28515625" style="8" bestFit="1" customWidth="1"/>
    <col min="15205" max="15214" width="11.140625" style="8" customWidth="1"/>
    <col min="15215" max="15215" width="6.7109375" style="8" customWidth="1"/>
    <col min="15216" max="15216" width="10.7109375" style="8" customWidth="1"/>
    <col min="15217" max="15217" width="23.28515625" style="8" bestFit="1" customWidth="1"/>
    <col min="15218" max="15228" width="13.7109375" style="8" customWidth="1"/>
    <col min="15229" max="15229" width="5" style="8" customWidth="1"/>
    <col min="15230" max="15230" width="9.28515625" style="8" customWidth="1"/>
    <col min="15231" max="15231" width="23.28515625" style="8" bestFit="1" customWidth="1"/>
    <col min="15232" max="15234" width="11.28515625" style="8" bestFit="1" customWidth="1"/>
    <col min="15235" max="15235" width="3" style="8" customWidth="1"/>
    <col min="15236" max="15236" width="8.42578125" style="8" customWidth="1"/>
    <col min="15237" max="15237" width="23.28515625" style="8" bestFit="1" customWidth="1"/>
    <col min="15238" max="15251" width="11.85546875" style="8" customWidth="1"/>
    <col min="15252" max="15252" width="15.5703125" style="8" bestFit="1" customWidth="1"/>
    <col min="15253" max="15253" width="4.28515625" style="8" customWidth="1"/>
    <col min="15254" max="15254" width="10.7109375" style="8" customWidth="1"/>
    <col min="15255" max="15255" width="23.28515625" style="8" bestFit="1" customWidth="1"/>
    <col min="15256" max="15265" width="11.28515625" style="8" customWidth="1"/>
    <col min="15266" max="15266" width="23.28515625" style="8" bestFit="1" customWidth="1"/>
    <col min="15267" max="15271" width="11.28515625" style="8" customWidth="1"/>
    <col min="15272" max="15366" width="11.5703125" style="8"/>
    <col min="15367" max="15367" width="9.85546875" style="8" customWidth="1"/>
    <col min="15368" max="15368" width="23.28515625" style="8" bestFit="1" customWidth="1"/>
    <col min="15369" max="15386" width="11" style="8" customWidth="1"/>
    <col min="15387" max="15387" width="10.140625" style="8" customWidth="1"/>
    <col min="15388" max="15388" width="23.28515625" style="8" bestFit="1" customWidth="1"/>
    <col min="15389" max="15397" width="11.5703125" style="8" customWidth="1"/>
    <col min="15398" max="15398" width="5.7109375" style="8" customWidth="1"/>
    <col min="15399" max="15399" width="11.5703125" style="8" customWidth="1"/>
    <col min="15400" max="15400" width="23.28515625" style="8" bestFit="1" customWidth="1"/>
    <col min="15401" max="15414" width="11.85546875" style="8" customWidth="1"/>
    <col min="15415" max="15415" width="9.7109375" style="8" customWidth="1"/>
    <col min="15416" max="15416" width="23.28515625" style="8" bestFit="1" customWidth="1"/>
    <col min="15417" max="15432" width="11.7109375" style="8" customWidth="1"/>
    <col min="15433" max="15433" width="4.42578125" style="8" customWidth="1"/>
    <col min="15434" max="15434" width="8.7109375" style="8" customWidth="1"/>
    <col min="15435" max="15435" width="23.28515625" style="8" bestFit="1" customWidth="1"/>
    <col min="15436" max="15447" width="11.28515625" style="8" customWidth="1"/>
    <col min="15448" max="15448" width="5.28515625" style="8" customWidth="1"/>
    <col min="15449" max="15449" width="9.5703125" style="8" customWidth="1"/>
    <col min="15450" max="15450" width="23.28515625" style="8" bestFit="1" customWidth="1"/>
    <col min="15451" max="15457" width="15.42578125" style="8" customWidth="1"/>
    <col min="15458" max="15458" width="6.7109375" style="8" customWidth="1"/>
    <col min="15459" max="15459" width="9" style="8" customWidth="1"/>
    <col min="15460" max="15460" width="23.28515625" style="8" bestFit="1" customWidth="1"/>
    <col min="15461" max="15470" width="11.140625" style="8" customWidth="1"/>
    <col min="15471" max="15471" width="6.7109375" style="8" customWidth="1"/>
    <col min="15472" max="15472" width="10.7109375" style="8" customWidth="1"/>
    <col min="15473" max="15473" width="23.28515625" style="8" bestFit="1" customWidth="1"/>
    <col min="15474" max="15484" width="13.7109375" style="8" customWidth="1"/>
    <col min="15485" max="15485" width="5" style="8" customWidth="1"/>
    <col min="15486" max="15486" width="9.28515625" style="8" customWidth="1"/>
    <col min="15487" max="15487" width="23.28515625" style="8" bestFit="1" customWidth="1"/>
    <col min="15488" max="15490" width="11.28515625" style="8" bestFit="1" customWidth="1"/>
    <col min="15491" max="15491" width="3" style="8" customWidth="1"/>
    <col min="15492" max="15492" width="8.42578125" style="8" customWidth="1"/>
    <col min="15493" max="15493" width="23.28515625" style="8" bestFit="1" customWidth="1"/>
    <col min="15494" max="15507" width="11.85546875" style="8" customWidth="1"/>
    <col min="15508" max="15508" width="15.5703125" style="8" bestFit="1" customWidth="1"/>
    <col min="15509" max="15509" width="4.28515625" style="8" customWidth="1"/>
    <col min="15510" max="15510" width="10.7109375" style="8" customWidth="1"/>
    <col min="15511" max="15511" width="23.28515625" style="8" bestFit="1" customWidth="1"/>
    <col min="15512" max="15521" width="11.28515625" style="8" customWidth="1"/>
    <col min="15522" max="15522" width="23.28515625" style="8" bestFit="1" customWidth="1"/>
    <col min="15523" max="15527" width="11.28515625" style="8" customWidth="1"/>
    <col min="15528" max="15622" width="11.5703125" style="8"/>
    <col min="15623" max="15623" width="9.85546875" style="8" customWidth="1"/>
    <col min="15624" max="15624" width="23.28515625" style="8" bestFit="1" customWidth="1"/>
    <col min="15625" max="15642" width="11" style="8" customWidth="1"/>
    <col min="15643" max="15643" width="10.140625" style="8" customWidth="1"/>
    <col min="15644" max="15644" width="23.28515625" style="8" bestFit="1" customWidth="1"/>
    <col min="15645" max="15653" width="11.5703125" style="8" customWidth="1"/>
    <col min="15654" max="15654" width="5.7109375" style="8" customWidth="1"/>
    <col min="15655" max="15655" width="11.5703125" style="8" customWidth="1"/>
    <col min="15656" max="15656" width="23.28515625" style="8" bestFit="1" customWidth="1"/>
    <col min="15657" max="15670" width="11.85546875" style="8" customWidth="1"/>
    <col min="15671" max="15671" width="9.7109375" style="8" customWidth="1"/>
    <col min="15672" max="15672" width="23.28515625" style="8" bestFit="1" customWidth="1"/>
    <col min="15673" max="15688" width="11.7109375" style="8" customWidth="1"/>
    <col min="15689" max="15689" width="4.42578125" style="8" customWidth="1"/>
    <col min="15690" max="15690" width="8.7109375" style="8" customWidth="1"/>
    <col min="15691" max="15691" width="23.28515625" style="8" bestFit="1" customWidth="1"/>
    <col min="15692" max="15703" width="11.28515625" style="8" customWidth="1"/>
    <col min="15704" max="15704" width="5.28515625" style="8" customWidth="1"/>
    <col min="15705" max="15705" width="9.5703125" style="8" customWidth="1"/>
    <col min="15706" max="15706" width="23.28515625" style="8" bestFit="1" customWidth="1"/>
    <col min="15707" max="15713" width="15.42578125" style="8" customWidth="1"/>
    <col min="15714" max="15714" width="6.7109375" style="8" customWidth="1"/>
    <col min="15715" max="15715" width="9" style="8" customWidth="1"/>
    <col min="15716" max="15716" width="23.28515625" style="8" bestFit="1" customWidth="1"/>
    <col min="15717" max="15726" width="11.140625" style="8" customWidth="1"/>
    <col min="15727" max="15727" width="6.7109375" style="8" customWidth="1"/>
    <col min="15728" max="15728" width="10.7109375" style="8" customWidth="1"/>
    <col min="15729" max="15729" width="23.28515625" style="8" bestFit="1" customWidth="1"/>
    <col min="15730" max="15740" width="13.7109375" style="8" customWidth="1"/>
    <col min="15741" max="15741" width="5" style="8" customWidth="1"/>
    <col min="15742" max="15742" width="9.28515625" style="8" customWidth="1"/>
    <col min="15743" max="15743" width="23.28515625" style="8" bestFit="1" customWidth="1"/>
    <col min="15744" max="15746" width="11.28515625" style="8" bestFit="1" customWidth="1"/>
    <col min="15747" max="15747" width="3" style="8" customWidth="1"/>
    <col min="15748" max="15748" width="8.42578125" style="8" customWidth="1"/>
    <col min="15749" max="15749" width="23.28515625" style="8" bestFit="1" customWidth="1"/>
    <col min="15750" max="15763" width="11.85546875" style="8" customWidth="1"/>
    <col min="15764" max="15764" width="15.5703125" style="8" bestFit="1" customWidth="1"/>
    <col min="15765" max="15765" width="4.28515625" style="8" customWidth="1"/>
    <col min="15766" max="15766" width="10.7109375" style="8" customWidth="1"/>
    <col min="15767" max="15767" width="23.28515625" style="8" bestFit="1" customWidth="1"/>
    <col min="15768" max="15777" width="11.28515625" style="8" customWidth="1"/>
    <col min="15778" max="15778" width="23.28515625" style="8" bestFit="1" customWidth="1"/>
    <col min="15779" max="15783" width="11.28515625" style="8" customWidth="1"/>
    <col min="15784" max="15878" width="11.5703125" style="8"/>
    <col min="15879" max="15879" width="9.85546875" style="8" customWidth="1"/>
    <col min="15880" max="15880" width="23.28515625" style="8" bestFit="1" customWidth="1"/>
    <col min="15881" max="15898" width="11" style="8" customWidth="1"/>
    <col min="15899" max="15899" width="10.140625" style="8" customWidth="1"/>
    <col min="15900" max="15900" width="23.28515625" style="8" bestFit="1" customWidth="1"/>
    <col min="15901" max="15909" width="11.5703125" style="8" customWidth="1"/>
    <col min="15910" max="15910" width="5.7109375" style="8" customWidth="1"/>
    <col min="15911" max="15911" width="11.5703125" style="8" customWidth="1"/>
    <col min="15912" max="15912" width="23.28515625" style="8" bestFit="1" customWidth="1"/>
    <col min="15913" max="15926" width="11.85546875" style="8" customWidth="1"/>
    <col min="15927" max="15927" width="9.7109375" style="8" customWidth="1"/>
    <col min="15928" max="15928" width="23.28515625" style="8" bestFit="1" customWidth="1"/>
    <col min="15929" max="15944" width="11.7109375" style="8" customWidth="1"/>
    <col min="15945" max="15945" width="4.42578125" style="8" customWidth="1"/>
    <col min="15946" max="15946" width="8.7109375" style="8" customWidth="1"/>
    <col min="15947" max="15947" width="23.28515625" style="8" bestFit="1" customWidth="1"/>
    <col min="15948" max="15959" width="11.28515625" style="8" customWidth="1"/>
    <col min="15960" max="15960" width="5.28515625" style="8" customWidth="1"/>
    <col min="15961" max="15961" width="9.5703125" style="8" customWidth="1"/>
    <col min="15962" max="15962" width="23.28515625" style="8" bestFit="1" customWidth="1"/>
    <col min="15963" max="15969" width="15.42578125" style="8" customWidth="1"/>
    <col min="15970" max="15970" width="6.7109375" style="8" customWidth="1"/>
    <col min="15971" max="15971" width="9" style="8" customWidth="1"/>
    <col min="15972" max="15972" width="23.28515625" style="8" bestFit="1" customWidth="1"/>
    <col min="15973" max="15982" width="11.140625" style="8" customWidth="1"/>
    <col min="15983" max="15983" width="6.7109375" style="8" customWidth="1"/>
    <col min="15984" max="15984" width="10.7109375" style="8" customWidth="1"/>
    <col min="15985" max="15985" width="23.28515625" style="8" bestFit="1" customWidth="1"/>
    <col min="15986" max="15996" width="13.7109375" style="8" customWidth="1"/>
    <col min="15997" max="15997" width="5" style="8" customWidth="1"/>
    <col min="15998" max="15998" width="9.28515625" style="8" customWidth="1"/>
    <col min="15999" max="15999" width="23.28515625" style="8" bestFit="1" customWidth="1"/>
    <col min="16000" max="16002" width="11.28515625" style="8" bestFit="1" customWidth="1"/>
    <col min="16003" max="16003" width="3" style="8" customWidth="1"/>
    <col min="16004" max="16004" width="8.42578125" style="8" customWidth="1"/>
    <col min="16005" max="16005" width="23.28515625" style="8" bestFit="1" customWidth="1"/>
    <col min="16006" max="16019" width="11.85546875" style="8" customWidth="1"/>
    <col min="16020" max="16020" width="15.5703125" style="8" bestFit="1" customWidth="1"/>
    <col min="16021" max="16021" width="4.28515625" style="8" customWidth="1"/>
    <col min="16022" max="16022" width="10.7109375" style="8" customWidth="1"/>
    <col min="16023" max="16023" width="23.28515625" style="8" bestFit="1" customWidth="1"/>
    <col min="16024" max="16033" width="11.28515625" style="8" customWidth="1"/>
    <col min="16034" max="16034" width="23.28515625" style="8" bestFit="1" customWidth="1"/>
    <col min="16035" max="16039" width="11.28515625" style="8" customWidth="1"/>
    <col min="16040" max="16134" width="11.5703125" style="8"/>
    <col min="16135" max="16135" width="9.85546875" style="8" customWidth="1"/>
    <col min="16136" max="16136" width="23.28515625" style="8" bestFit="1" customWidth="1"/>
    <col min="16137" max="16154" width="11" style="8" customWidth="1"/>
    <col min="16155" max="16155" width="10.140625" style="8" customWidth="1"/>
    <col min="16156" max="16156" width="23.28515625" style="8" bestFit="1" customWidth="1"/>
    <col min="16157" max="16165" width="11.5703125" style="8" customWidth="1"/>
    <col min="16166" max="16166" width="5.7109375" style="8" customWidth="1"/>
    <col min="16167" max="16167" width="11.5703125" style="8" customWidth="1"/>
    <col min="16168" max="16168" width="23.28515625" style="8" bestFit="1" customWidth="1"/>
    <col min="16169" max="16182" width="11.85546875" style="8" customWidth="1"/>
    <col min="16183" max="16183" width="9.7109375" style="8" customWidth="1"/>
    <col min="16184" max="16184" width="23.28515625" style="8" bestFit="1" customWidth="1"/>
    <col min="16185" max="16200" width="11.7109375" style="8" customWidth="1"/>
    <col min="16201" max="16201" width="4.42578125" style="8" customWidth="1"/>
    <col min="16202" max="16202" width="8.7109375" style="8" customWidth="1"/>
    <col min="16203" max="16203" width="23.28515625" style="8" bestFit="1" customWidth="1"/>
    <col min="16204" max="16215" width="11.28515625" style="8" customWidth="1"/>
    <col min="16216" max="16216" width="5.28515625" style="8" customWidth="1"/>
    <col min="16217" max="16217" width="9.5703125" style="8" customWidth="1"/>
    <col min="16218" max="16218" width="23.28515625" style="8" bestFit="1" customWidth="1"/>
    <col min="16219" max="16225" width="15.42578125" style="8" customWidth="1"/>
    <col min="16226" max="16226" width="6.7109375" style="8" customWidth="1"/>
    <col min="16227" max="16227" width="9" style="8" customWidth="1"/>
    <col min="16228" max="16228" width="23.28515625" style="8" bestFit="1" customWidth="1"/>
    <col min="16229" max="16238" width="11.140625" style="8" customWidth="1"/>
    <col min="16239" max="16239" width="6.7109375" style="8" customWidth="1"/>
    <col min="16240" max="16240" width="10.7109375" style="8" customWidth="1"/>
    <col min="16241" max="16241" width="23.28515625" style="8" bestFit="1" customWidth="1"/>
    <col min="16242" max="16252" width="13.7109375" style="8" customWidth="1"/>
    <col min="16253" max="16253" width="5" style="8" customWidth="1"/>
    <col min="16254" max="16254" width="9.28515625" style="8" customWidth="1"/>
    <col min="16255" max="16255" width="23.28515625" style="8" bestFit="1" customWidth="1"/>
    <col min="16256" max="16258" width="11.28515625" style="8" bestFit="1" customWidth="1"/>
    <col min="16259" max="16259" width="3" style="8" customWidth="1"/>
    <col min="16260" max="16260" width="8.42578125" style="8" customWidth="1"/>
    <col min="16261" max="16261" width="23.28515625" style="8" bestFit="1" customWidth="1"/>
    <col min="16262" max="16275" width="11.85546875" style="8" customWidth="1"/>
    <col min="16276" max="16276" width="15.5703125" style="8" bestFit="1" customWidth="1"/>
    <col min="16277" max="16277" width="4.28515625" style="8" customWidth="1"/>
    <col min="16278" max="16278" width="10.7109375" style="8" customWidth="1"/>
    <col min="16279" max="16279" width="23.28515625" style="8" bestFit="1" customWidth="1"/>
    <col min="16280" max="16289" width="11.28515625" style="8" customWidth="1"/>
    <col min="16290" max="16290" width="23.28515625" style="8" bestFit="1" customWidth="1"/>
    <col min="16291" max="16295" width="11.28515625" style="8" customWidth="1"/>
    <col min="16296" max="16384" width="11.5703125" style="8"/>
  </cols>
  <sheetData>
    <row r="1" spans="1:168" ht="16.5" thickBot="1" x14ac:dyDescent="0.3">
      <c r="A1" s="2"/>
      <c r="B1" s="691" t="s">
        <v>20</v>
      </c>
      <c r="C1" s="692"/>
      <c r="D1" s="692"/>
      <c r="E1" s="692"/>
      <c r="F1" s="692"/>
      <c r="G1" s="692"/>
      <c r="H1" s="692"/>
      <c r="I1" s="692"/>
      <c r="J1" s="692"/>
      <c r="K1" s="692"/>
      <c r="L1" s="692"/>
      <c r="M1" s="692"/>
      <c r="N1" s="692"/>
      <c r="O1" s="692"/>
      <c r="P1" s="692"/>
      <c r="Q1" s="692"/>
      <c r="R1" s="692"/>
      <c r="S1" s="692"/>
      <c r="T1" s="692"/>
      <c r="U1" s="692"/>
      <c r="V1" s="693"/>
      <c r="W1" s="3"/>
      <c r="X1" s="691" t="s">
        <v>21</v>
      </c>
      <c r="Y1" s="694"/>
      <c r="Z1" s="694"/>
      <c r="AA1" s="694"/>
      <c r="AB1" s="694"/>
      <c r="AC1" s="694"/>
      <c r="AD1" s="694"/>
      <c r="AE1" s="694"/>
      <c r="AF1" s="694"/>
      <c r="AG1" s="694"/>
      <c r="AH1" s="326"/>
      <c r="AI1" s="326"/>
      <c r="AJ1" s="695" t="s">
        <v>21</v>
      </c>
      <c r="AK1" s="696"/>
      <c r="AL1" s="696"/>
      <c r="AM1" s="696"/>
      <c r="AN1" s="696"/>
      <c r="AO1" s="696"/>
      <c r="AP1" s="696"/>
      <c r="AQ1" s="696"/>
      <c r="AR1" s="696"/>
      <c r="AS1" s="696"/>
      <c r="AT1" s="696"/>
      <c r="AU1" s="696"/>
      <c r="AV1" s="696"/>
      <c r="AW1" s="697"/>
      <c r="AX1" s="3"/>
      <c r="AY1" s="3"/>
      <c r="AZ1" s="691" t="s">
        <v>21</v>
      </c>
      <c r="BA1" s="694"/>
      <c r="BB1" s="694"/>
      <c r="BC1" s="694"/>
      <c r="BD1" s="694"/>
      <c r="BE1" s="694"/>
      <c r="BF1" s="694"/>
      <c r="BG1" s="694"/>
      <c r="BH1" s="694"/>
      <c r="BI1" s="694"/>
      <c r="BJ1" s="694"/>
      <c r="BK1" s="694"/>
      <c r="BL1" s="694"/>
      <c r="BM1" s="694"/>
      <c r="BN1" s="694"/>
      <c r="BO1" s="694"/>
      <c r="BP1" s="698"/>
      <c r="BS1" s="695" t="s">
        <v>21</v>
      </c>
      <c r="BT1" s="696"/>
      <c r="BU1" s="696"/>
      <c r="BV1" s="696"/>
      <c r="BW1" s="696"/>
      <c r="BX1" s="696"/>
      <c r="BY1" s="696"/>
      <c r="BZ1" s="696"/>
      <c r="CA1" s="696"/>
      <c r="CB1" s="696"/>
      <c r="CC1" s="696"/>
      <c r="CD1" s="696"/>
      <c r="CE1" s="696"/>
      <c r="CF1" s="697"/>
      <c r="CG1" s="3"/>
      <c r="CH1" s="3"/>
      <c r="CI1" s="3"/>
      <c r="CJ1" s="3"/>
      <c r="CK1" s="3"/>
      <c r="CL1" s="3"/>
      <c r="CM1" s="3"/>
      <c r="CN1" s="3"/>
      <c r="CO1" s="3"/>
      <c r="CP1" s="5"/>
      <c r="CR1" s="5"/>
      <c r="CS1" s="5"/>
      <c r="CT1" s="5"/>
      <c r="CU1" s="5"/>
      <c r="CV1" s="5"/>
      <c r="CW1" s="5"/>
      <c r="CX1" s="5"/>
      <c r="CY1" s="5"/>
      <c r="CZ1" s="5"/>
      <c r="DA1" s="5"/>
      <c r="DB1" s="5"/>
      <c r="DC1" s="5"/>
      <c r="DD1" s="5"/>
      <c r="DE1" s="3"/>
      <c r="DF1" s="695" t="s">
        <v>22</v>
      </c>
      <c r="DG1" s="696"/>
      <c r="DH1" s="696"/>
      <c r="DI1" s="696"/>
      <c r="DJ1" s="696"/>
      <c r="DK1" s="696"/>
      <c r="DL1" s="696"/>
      <c r="DM1" s="696"/>
      <c r="DN1" s="696"/>
      <c r="DO1" s="696"/>
      <c r="DP1" s="696"/>
      <c r="DQ1" s="696"/>
      <c r="DR1" s="696"/>
      <c r="DS1" s="3"/>
      <c r="DT1" s="5"/>
      <c r="DU1" s="674" t="s">
        <v>22</v>
      </c>
      <c r="DV1" s="675"/>
      <c r="DW1" s="675"/>
      <c r="DX1" s="675"/>
      <c r="DY1" s="6"/>
      <c r="DZ1" s="7"/>
      <c r="EA1" s="676" t="s">
        <v>23</v>
      </c>
      <c r="EB1" s="677"/>
      <c r="EC1" s="677"/>
      <c r="ED1" s="677"/>
      <c r="EE1" s="677"/>
      <c r="EF1" s="677"/>
      <c r="EG1" s="677"/>
      <c r="EH1" s="677"/>
      <c r="EI1" s="677"/>
      <c r="EJ1" s="677"/>
      <c r="EK1" s="677"/>
      <c r="EL1" s="677"/>
      <c r="EM1" s="677"/>
      <c r="EN1" s="677"/>
      <c r="EO1" s="677"/>
      <c r="EP1" s="678"/>
      <c r="EQ1" s="276"/>
      <c r="ER1" s="277"/>
      <c r="ES1" s="3"/>
      <c r="ET1" s="3"/>
      <c r="EU1" s="676" t="s">
        <v>23</v>
      </c>
      <c r="EV1" s="677"/>
      <c r="EW1" s="677"/>
      <c r="EX1" s="677"/>
      <c r="EY1" s="677"/>
      <c r="EZ1" s="677"/>
      <c r="FA1" s="677"/>
      <c r="FB1" s="677"/>
      <c r="FC1" s="677"/>
      <c r="FD1" s="677"/>
      <c r="FE1" s="3"/>
    </row>
    <row r="2" spans="1:168" ht="21.6" customHeight="1" thickBot="1" x14ac:dyDescent="0.3">
      <c r="A2" s="5"/>
      <c r="B2" s="679" t="s">
        <v>24</v>
      </c>
      <c r="C2" s="680"/>
      <c r="D2" s="680"/>
      <c r="E2" s="680"/>
      <c r="F2" s="680"/>
      <c r="G2" s="680"/>
      <c r="H2" s="680"/>
      <c r="I2" s="680"/>
      <c r="J2" s="680"/>
      <c r="K2" s="680"/>
      <c r="L2" s="680"/>
      <c r="M2" s="680"/>
      <c r="N2" s="680"/>
      <c r="O2" s="680"/>
      <c r="P2" s="680"/>
      <c r="Q2" s="680"/>
      <c r="R2" s="680"/>
      <c r="S2" s="680"/>
      <c r="T2" s="680"/>
      <c r="U2" s="680"/>
      <c r="V2" s="681"/>
      <c r="W2" s="9"/>
      <c r="X2" s="682" t="s">
        <v>25</v>
      </c>
      <c r="Y2" s="683"/>
      <c r="Z2" s="683"/>
      <c r="AA2" s="683"/>
      <c r="AB2" s="683"/>
      <c r="AC2" s="683"/>
      <c r="AD2" s="683"/>
      <c r="AE2" s="683"/>
      <c r="AF2" s="683"/>
      <c r="AG2" s="684"/>
      <c r="AH2" s="9"/>
      <c r="AI2" s="10"/>
      <c r="AJ2" s="685" t="s">
        <v>26</v>
      </c>
      <c r="AK2" s="685"/>
      <c r="AL2" s="685"/>
      <c r="AM2" s="685"/>
      <c r="AN2" s="685"/>
      <c r="AO2" s="685"/>
      <c r="AP2" s="685"/>
      <c r="AQ2" s="685"/>
      <c r="AR2" s="685"/>
      <c r="AS2" s="685"/>
      <c r="AT2" s="685"/>
      <c r="AU2" s="685"/>
      <c r="AV2" s="685"/>
      <c r="AW2" s="686"/>
      <c r="AX2" s="9"/>
      <c r="AY2" s="9"/>
      <c r="AZ2" s="682" t="s">
        <v>27</v>
      </c>
      <c r="BA2" s="683"/>
      <c r="BB2" s="683"/>
      <c r="BC2" s="683"/>
      <c r="BD2" s="683"/>
      <c r="BE2" s="683"/>
      <c r="BF2" s="683"/>
      <c r="BG2" s="683"/>
      <c r="BH2" s="683"/>
      <c r="BI2" s="683"/>
      <c r="BJ2" s="683"/>
      <c r="BK2" s="683"/>
      <c r="BL2" s="683"/>
      <c r="BM2" s="683"/>
      <c r="BN2" s="683"/>
      <c r="BO2" s="683"/>
      <c r="BP2" s="684"/>
      <c r="BQ2" s="9"/>
      <c r="BR2" s="9"/>
      <c r="BS2" s="687" t="s">
        <v>28</v>
      </c>
      <c r="BT2" s="685"/>
      <c r="BU2" s="685"/>
      <c r="BV2" s="685"/>
      <c r="BW2" s="685"/>
      <c r="BX2" s="685"/>
      <c r="BY2" s="685"/>
      <c r="BZ2" s="685"/>
      <c r="CA2" s="685"/>
      <c r="CB2" s="685"/>
      <c r="CC2" s="685"/>
      <c r="CD2" s="685"/>
      <c r="CE2" s="685"/>
      <c r="CF2" s="686"/>
      <c r="CG2" s="9"/>
      <c r="CH2" s="9"/>
      <c r="CI2" s="688" t="s">
        <v>29</v>
      </c>
      <c r="CJ2" s="689"/>
      <c r="CK2" s="689"/>
      <c r="CL2" s="689"/>
      <c r="CM2" s="689"/>
      <c r="CN2" s="689"/>
      <c r="CO2" s="689"/>
      <c r="CP2" s="690"/>
      <c r="CQ2" s="9"/>
      <c r="CR2" s="11"/>
      <c r="CS2" s="688" t="s">
        <v>30</v>
      </c>
      <c r="CT2" s="689"/>
      <c r="CU2" s="689"/>
      <c r="CV2" s="689"/>
      <c r="CW2" s="689"/>
      <c r="CX2" s="689"/>
      <c r="CY2" s="689"/>
      <c r="CZ2" s="689"/>
      <c r="DA2" s="689"/>
      <c r="DB2" s="689"/>
      <c r="DC2" s="690"/>
      <c r="DD2" s="9"/>
      <c r="DE2" s="12"/>
      <c r="DF2" s="699" t="s">
        <v>2</v>
      </c>
      <c r="DG2" s="700"/>
      <c r="DH2" s="700"/>
      <c r="DI2" s="700"/>
      <c r="DJ2" s="700"/>
      <c r="DK2" s="700"/>
      <c r="DL2" s="700"/>
      <c r="DM2" s="700"/>
      <c r="DN2" s="700"/>
      <c r="DO2" s="700"/>
      <c r="DP2" s="700"/>
      <c r="DQ2" s="701"/>
      <c r="DR2" s="702"/>
      <c r="DS2" s="13"/>
      <c r="DT2" s="5"/>
      <c r="DU2" s="703" t="s">
        <v>31</v>
      </c>
      <c r="DV2" s="704"/>
      <c r="DW2" s="704"/>
      <c r="DX2" s="704"/>
      <c r="DY2" s="9"/>
      <c r="DZ2" s="9"/>
      <c r="EA2" s="705" t="s">
        <v>32</v>
      </c>
      <c r="EB2" s="706"/>
      <c r="EC2" s="706"/>
      <c r="ED2" s="706"/>
      <c r="EE2" s="706"/>
      <c r="EF2" s="706"/>
      <c r="EG2" s="706"/>
      <c r="EH2" s="706"/>
      <c r="EI2" s="706"/>
      <c r="EJ2" s="706"/>
      <c r="EK2" s="706"/>
      <c r="EL2" s="706"/>
      <c r="EM2" s="706"/>
      <c r="EN2" s="706"/>
      <c r="EO2" s="706"/>
      <c r="EP2" s="707"/>
      <c r="EQ2" s="278"/>
      <c r="ER2" s="279"/>
      <c r="ES2" s="13"/>
      <c r="ET2" s="9"/>
      <c r="EU2" s="708" t="s">
        <v>33</v>
      </c>
      <c r="EV2" s="709"/>
      <c r="EW2" s="709"/>
      <c r="EX2" s="709"/>
      <c r="EY2" s="709"/>
      <c r="EZ2" s="709"/>
      <c r="FA2" s="709"/>
      <c r="FB2" s="709"/>
      <c r="FC2" s="709"/>
      <c r="FD2" s="710"/>
      <c r="FE2" s="9"/>
      <c r="FF2" s="708" t="s">
        <v>34</v>
      </c>
      <c r="FG2" s="709"/>
      <c r="FH2" s="709"/>
      <c r="FI2" s="709"/>
      <c r="FJ2" s="709"/>
      <c r="FK2" s="709"/>
    </row>
    <row r="3" spans="1:168" s="42" customFormat="1" ht="137.1" customHeight="1" thickTop="1" thickBot="1" x14ac:dyDescent="0.3">
      <c r="A3" s="14"/>
      <c r="B3" s="15" t="s">
        <v>35</v>
      </c>
      <c r="C3" s="16" t="s">
        <v>36</v>
      </c>
      <c r="D3" s="16" t="s">
        <v>37</v>
      </c>
      <c r="E3" s="256" t="s">
        <v>248</v>
      </c>
      <c r="F3" s="256" t="s">
        <v>249</v>
      </c>
      <c r="G3" s="16" t="s">
        <v>38</v>
      </c>
      <c r="H3" s="16" t="s">
        <v>39</v>
      </c>
      <c r="I3" s="16" t="s">
        <v>40</v>
      </c>
      <c r="J3" s="16" t="s">
        <v>41</v>
      </c>
      <c r="K3" s="16" t="s">
        <v>42</v>
      </c>
      <c r="L3" s="16" t="s">
        <v>43</v>
      </c>
      <c r="M3" s="16" t="s">
        <v>44</v>
      </c>
      <c r="N3" s="16" t="s">
        <v>45</v>
      </c>
      <c r="O3" s="16" t="s">
        <v>46</v>
      </c>
      <c r="P3" s="16" t="s">
        <v>47</v>
      </c>
      <c r="Q3" s="16" t="s">
        <v>48</v>
      </c>
      <c r="R3" s="16" t="s">
        <v>49</v>
      </c>
      <c r="S3" s="16" t="s">
        <v>50</v>
      </c>
      <c r="T3" s="16" t="s">
        <v>51</v>
      </c>
      <c r="U3" s="16" t="s">
        <v>52</v>
      </c>
      <c r="V3" s="17" t="s">
        <v>53</v>
      </c>
      <c r="W3" s="18"/>
      <c r="X3" s="15" t="s">
        <v>35</v>
      </c>
      <c r="Y3" s="19" t="s">
        <v>54</v>
      </c>
      <c r="Z3" s="16" t="s">
        <v>55</v>
      </c>
      <c r="AA3" s="16" t="s">
        <v>56</v>
      </c>
      <c r="AB3" s="16" t="s">
        <v>57</v>
      </c>
      <c r="AC3" s="16" t="s">
        <v>58</v>
      </c>
      <c r="AD3" s="16" t="s">
        <v>59</v>
      </c>
      <c r="AE3" s="16" t="s">
        <v>60</v>
      </c>
      <c r="AF3" s="16" t="s">
        <v>61</v>
      </c>
      <c r="AG3" s="17" t="s">
        <v>62</v>
      </c>
      <c r="AH3" s="18"/>
      <c r="AI3" s="20"/>
      <c r="AJ3" s="21" t="s">
        <v>35</v>
      </c>
      <c r="AK3" s="22" t="s">
        <v>63</v>
      </c>
      <c r="AL3" s="23" t="s">
        <v>64</v>
      </c>
      <c r="AM3" s="23" t="s">
        <v>65</v>
      </c>
      <c r="AN3" s="23" t="s">
        <v>66</v>
      </c>
      <c r="AO3" s="23" t="s">
        <v>67</v>
      </c>
      <c r="AP3" s="21" t="s">
        <v>35</v>
      </c>
      <c r="AQ3" s="23" t="s">
        <v>68</v>
      </c>
      <c r="AR3" s="23" t="s">
        <v>69</v>
      </c>
      <c r="AS3" s="23" t="s">
        <v>70</v>
      </c>
      <c r="AT3" s="23" t="s">
        <v>71</v>
      </c>
      <c r="AU3" s="23" t="s">
        <v>72</v>
      </c>
      <c r="AV3" s="23" t="s">
        <v>73</v>
      </c>
      <c r="AW3" s="24" t="s">
        <v>74</v>
      </c>
      <c r="AX3" s="18"/>
      <c r="AY3" s="18"/>
      <c r="AZ3" s="15" t="s">
        <v>35</v>
      </c>
      <c r="BA3" s="16" t="s">
        <v>75</v>
      </c>
      <c r="BB3" s="16" t="s">
        <v>533</v>
      </c>
      <c r="BC3" s="16" t="s">
        <v>76</v>
      </c>
      <c r="BD3" s="16" t="s">
        <v>77</v>
      </c>
      <c r="BE3" s="16" t="s">
        <v>78</v>
      </c>
      <c r="BF3" s="16" t="s">
        <v>79</v>
      </c>
      <c r="BG3" s="19" t="s">
        <v>35</v>
      </c>
      <c r="BH3" s="16" t="s">
        <v>80</v>
      </c>
      <c r="BI3" s="16" t="s">
        <v>81</v>
      </c>
      <c r="BJ3" s="16" t="s">
        <v>82</v>
      </c>
      <c r="BK3" s="16" t="s">
        <v>83</v>
      </c>
      <c r="BL3" s="16" t="s">
        <v>84</v>
      </c>
      <c r="BM3" s="16" t="s">
        <v>85</v>
      </c>
      <c r="BN3" s="16" t="s">
        <v>86</v>
      </c>
      <c r="BO3" s="16" t="s">
        <v>87</v>
      </c>
      <c r="BP3" s="17" t="s">
        <v>88</v>
      </c>
      <c r="BQ3" s="18"/>
      <c r="BR3" s="18"/>
      <c r="BS3" s="25" t="s">
        <v>89</v>
      </c>
      <c r="BT3" s="23" t="s">
        <v>90</v>
      </c>
      <c r="BU3" s="26" t="s">
        <v>254</v>
      </c>
      <c r="BV3" s="23" t="s">
        <v>91</v>
      </c>
      <c r="BW3" s="23" t="s">
        <v>92</v>
      </c>
      <c r="BX3" s="23" t="s">
        <v>93</v>
      </c>
      <c r="BY3" s="23" t="s">
        <v>94</v>
      </c>
      <c r="BZ3" s="26" t="s">
        <v>95</v>
      </c>
      <c r="CA3" s="23" t="s">
        <v>96</v>
      </c>
      <c r="CB3" s="23" t="s">
        <v>97</v>
      </c>
      <c r="CC3" s="23" t="s">
        <v>98</v>
      </c>
      <c r="CD3" s="23" t="s">
        <v>99</v>
      </c>
      <c r="CE3" s="23" t="s">
        <v>100</v>
      </c>
      <c r="CF3" s="24" t="s">
        <v>101</v>
      </c>
      <c r="CG3" s="18"/>
      <c r="CH3" s="18"/>
      <c r="CI3" s="25" t="s">
        <v>89</v>
      </c>
      <c r="CJ3" s="23" t="s">
        <v>102</v>
      </c>
      <c r="CK3" s="23" t="s">
        <v>103</v>
      </c>
      <c r="CL3" s="26" t="s">
        <v>89</v>
      </c>
      <c r="CM3" s="23" t="s">
        <v>104</v>
      </c>
      <c r="CN3" s="23" t="s">
        <v>105</v>
      </c>
      <c r="CO3" s="23" t="s">
        <v>106</v>
      </c>
      <c r="CP3" s="24" t="s">
        <v>107</v>
      </c>
      <c r="CQ3" s="18"/>
      <c r="CR3" s="18"/>
      <c r="CS3" s="25" t="s">
        <v>89</v>
      </c>
      <c r="CT3" s="21" t="s">
        <v>108</v>
      </c>
      <c r="CU3" s="21" t="s">
        <v>109</v>
      </c>
      <c r="CV3" s="21" t="s">
        <v>110</v>
      </c>
      <c r="CW3" s="21" t="s">
        <v>111</v>
      </c>
      <c r="CX3" s="21" t="s">
        <v>112</v>
      </c>
      <c r="CY3" s="21" t="s">
        <v>113</v>
      </c>
      <c r="CZ3" s="21" t="s">
        <v>114</v>
      </c>
      <c r="DA3" s="21" t="s">
        <v>115</v>
      </c>
      <c r="DB3" s="21" t="s">
        <v>116</v>
      </c>
      <c r="DC3" s="27" t="s">
        <v>117</v>
      </c>
      <c r="DD3" s="28"/>
      <c r="DE3" s="29"/>
      <c r="DF3" s="30" t="s">
        <v>89</v>
      </c>
      <c r="DG3" s="31" t="s">
        <v>118</v>
      </c>
      <c r="DH3" s="31" t="s">
        <v>119</v>
      </c>
      <c r="DI3" s="31" t="s">
        <v>120</v>
      </c>
      <c r="DJ3" s="31" t="s">
        <v>121</v>
      </c>
      <c r="DK3" s="31" t="s">
        <v>122</v>
      </c>
      <c r="DL3" s="32" t="s">
        <v>95</v>
      </c>
      <c r="DM3" s="31" t="s">
        <v>123</v>
      </c>
      <c r="DN3" s="31" t="s">
        <v>124</v>
      </c>
      <c r="DO3" s="33" t="s">
        <v>125</v>
      </c>
      <c r="DP3" s="31" t="s">
        <v>126</v>
      </c>
      <c r="DQ3" s="254" t="s">
        <v>553</v>
      </c>
      <c r="DR3" s="34" t="s">
        <v>127</v>
      </c>
      <c r="DS3" s="35"/>
      <c r="DT3" s="18"/>
      <c r="DU3" s="36" t="s">
        <v>35</v>
      </c>
      <c r="DV3" s="37" t="s">
        <v>128</v>
      </c>
      <c r="DW3" s="37" t="s">
        <v>129</v>
      </c>
      <c r="DX3" s="37" t="s">
        <v>130</v>
      </c>
      <c r="DY3" s="18"/>
      <c r="DZ3" s="18"/>
      <c r="EA3" s="38" t="s">
        <v>35</v>
      </c>
      <c r="EB3" s="23" t="s">
        <v>131</v>
      </c>
      <c r="EC3" s="23" t="s">
        <v>132</v>
      </c>
      <c r="ED3" s="23" t="s">
        <v>133</v>
      </c>
      <c r="EE3" s="23" t="s">
        <v>134</v>
      </c>
      <c r="EF3" s="23" t="s">
        <v>135</v>
      </c>
      <c r="EG3" s="23" t="s">
        <v>136</v>
      </c>
      <c r="EH3" s="23" t="s">
        <v>137</v>
      </c>
      <c r="EI3" s="23" t="s">
        <v>138</v>
      </c>
      <c r="EJ3" s="23" t="s">
        <v>139</v>
      </c>
      <c r="EK3" s="23" t="s">
        <v>140</v>
      </c>
      <c r="EL3" s="23" t="s">
        <v>141</v>
      </c>
      <c r="EM3" s="23" t="s">
        <v>142</v>
      </c>
      <c r="EN3" s="23" t="s">
        <v>143</v>
      </c>
      <c r="EO3" s="23" t="s">
        <v>144</v>
      </c>
      <c r="EP3" s="24" t="s">
        <v>145</v>
      </c>
      <c r="EQ3" s="280" t="s">
        <v>277</v>
      </c>
      <c r="ER3" s="280" t="s">
        <v>278</v>
      </c>
      <c r="ES3" s="35"/>
      <c r="ET3" s="18"/>
      <c r="EU3" s="36" t="s">
        <v>35</v>
      </c>
      <c r="EV3" s="39" t="s">
        <v>146</v>
      </c>
      <c r="EW3" s="39" t="s">
        <v>147</v>
      </c>
      <c r="EX3" s="39" t="s">
        <v>148</v>
      </c>
      <c r="EY3" s="39" t="s">
        <v>149</v>
      </c>
      <c r="EZ3" s="39" t="s">
        <v>150</v>
      </c>
      <c r="FA3" s="39" t="s">
        <v>151</v>
      </c>
      <c r="FB3" s="39" t="s">
        <v>152</v>
      </c>
      <c r="FC3" s="39" t="s">
        <v>153</v>
      </c>
      <c r="FD3" s="40" t="s">
        <v>154</v>
      </c>
      <c r="FE3" s="18"/>
      <c r="FF3" s="15" t="s">
        <v>155</v>
      </c>
      <c r="FG3" s="16" t="s">
        <v>156</v>
      </c>
      <c r="FH3" s="41" t="s">
        <v>157</v>
      </c>
      <c r="FI3" s="41" t="s">
        <v>158</v>
      </c>
      <c r="FJ3" s="41" t="s">
        <v>159</v>
      </c>
      <c r="FK3" s="17" t="s">
        <v>160</v>
      </c>
    </row>
    <row r="4" spans="1:168" ht="21" customHeight="1" thickTop="1" x14ac:dyDescent="0.25">
      <c r="A4" s="43"/>
      <c r="B4" s="711" t="s">
        <v>89</v>
      </c>
      <c r="C4" s="712"/>
      <c r="D4" s="712"/>
      <c r="E4" s="712"/>
      <c r="F4" s="712"/>
      <c r="G4" s="712"/>
      <c r="H4" s="712"/>
      <c r="I4" s="712"/>
      <c r="J4" s="712"/>
      <c r="K4" s="712"/>
      <c r="L4" s="712"/>
      <c r="M4" s="712"/>
      <c r="N4" s="712"/>
      <c r="O4" s="712"/>
      <c r="P4" s="712"/>
      <c r="Q4" s="712"/>
      <c r="R4" s="712"/>
      <c r="S4" s="712"/>
      <c r="T4" s="712"/>
      <c r="U4" s="712"/>
      <c r="V4" s="713"/>
      <c r="W4" s="5"/>
      <c r="X4" s="714" t="s">
        <v>89</v>
      </c>
      <c r="Y4" s="715"/>
      <c r="Z4" s="715"/>
      <c r="AA4" s="715"/>
      <c r="AB4" s="715"/>
      <c r="AC4" s="715"/>
      <c r="AD4" s="715"/>
      <c r="AE4" s="715"/>
      <c r="AF4" s="715"/>
      <c r="AG4" s="716"/>
      <c r="AH4" s="3"/>
      <c r="AI4" s="44"/>
      <c r="AJ4" s="717" t="s">
        <v>89</v>
      </c>
      <c r="AK4" s="717"/>
      <c r="AL4" s="717"/>
      <c r="AM4" s="717"/>
      <c r="AN4" s="717"/>
      <c r="AO4" s="717"/>
      <c r="AP4" s="717"/>
      <c r="AQ4" s="717"/>
      <c r="AR4" s="717"/>
      <c r="AS4" s="717"/>
      <c r="AT4" s="717"/>
      <c r="AU4" s="717"/>
      <c r="AV4" s="717"/>
      <c r="AW4" s="718"/>
      <c r="AX4" s="3"/>
      <c r="AY4" s="5"/>
      <c r="AZ4" s="45"/>
      <c r="BA4" s="46"/>
      <c r="BB4" s="46"/>
      <c r="BC4" s="46"/>
      <c r="BD4" s="46"/>
      <c r="BE4" s="46"/>
      <c r="BF4" s="46"/>
      <c r="BG4" s="46"/>
      <c r="BH4" s="46"/>
      <c r="BI4" s="46"/>
      <c r="BJ4" s="46"/>
      <c r="BK4" s="46"/>
      <c r="BL4" s="46"/>
      <c r="BM4" s="46"/>
      <c r="BN4" s="46"/>
      <c r="BO4" s="46"/>
      <c r="BP4" s="47"/>
      <c r="BS4" s="44"/>
      <c r="BT4" s="48"/>
      <c r="BU4" s="269"/>
      <c r="BV4" s="48"/>
      <c r="BW4" s="48"/>
      <c r="BX4" s="48"/>
      <c r="BY4" s="48"/>
      <c r="BZ4" s="48"/>
      <c r="CA4" s="48"/>
      <c r="CB4" s="48"/>
      <c r="CC4" s="48"/>
      <c r="CD4" s="48"/>
      <c r="CE4" s="48"/>
      <c r="CF4" s="49"/>
      <c r="CG4" s="5"/>
      <c r="CH4" s="5"/>
      <c r="CI4" s="50"/>
      <c r="CJ4" s="48"/>
      <c r="CK4" s="48"/>
      <c r="CL4" s="48"/>
      <c r="CM4" s="48"/>
      <c r="CN4" s="48"/>
      <c r="CO4" s="48"/>
      <c r="CP4" s="327"/>
      <c r="CQ4" s="3"/>
      <c r="CR4" s="3"/>
      <c r="CS4" s="50"/>
      <c r="CT4" s="48"/>
      <c r="CU4" s="48"/>
      <c r="CV4" s="48"/>
      <c r="CW4" s="48"/>
      <c r="CX4" s="48"/>
      <c r="CY4" s="48"/>
      <c r="CZ4" s="48"/>
      <c r="DA4" s="48"/>
      <c r="DB4" s="48"/>
      <c r="DC4" s="49"/>
      <c r="DD4" s="3"/>
      <c r="DE4" s="2"/>
      <c r="DF4" s="52"/>
      <c r="DG4" s="53"/>
      <c r="DH4" s="53"/>
      <c r="DI4" s="53"/>
      <c r="DJ4" s="53"/>
      <c r="DK4" s="53"/>
      <c r="DL4" s="53"/>
      <c r="DM4" s="53"/>
      <c r="DN4" s="53"/>
      <c r="DO4" s="53"/>
      <c r="DP4" s="53"/>
      <c r="DQ4" s="255"/>
      <c r="DR4" s="54"/>
      <c r="DS4" s="55"/>
      <c r="DT4" s="5"/>
      <c r="DU4" s="719" t="s">
        <v>89</v>
      </c>
      <c r="DV4" s="720"/>
      <c r="DW4" s="720"/>
      <c r="DX4" s="720"/>
      <c r="DY4" s="5"/>
      <c r="DZ4" s="5"/>
      <c r="EA4" s="721" t="s">
        <v>89</v>
      </c>
      <c r="EB4" s="717"/>
      <c r="EC4" s="717"/>
      <c r="ED4" s="717"/>
      <c r="EE4" s="717"/>
      <c r="EF4" s="717"/>
      <c r="EG4" s="717"/>
      <c r="EH4" s="717"/>
      <c r="EI4" s="717"/>
      <c r="EJ4" s="717"/>
      <c r="EK4" s="717"/>
      <c r="EL4" s="717"/>
      <c r="EM4" s="717"/>
      <c r="EN4" s="717"/>
      <c r="EO4" s="717"/>
      <c r="EP4" s="718"/>
      <c r="EQ4" s="277"/>
      <c r="ER4" s="281"/>
      <c r="ES4" s="55"/>
      <c r="ET4" s="5"/>
      <c r="EU4" s="723" t="s">
        <v>89</v>
      </c>
      <c r="EV4" s="724"/>
      <c r="EW4" s="724"/>
      <c r="EX4" s="724"/>
      <c r="EY4" s="724"/>
      <c r="EZ4" s="724"/>
      <c r="FA4" s="724"/>
      <c r="FB4" s="724"/>
      <c r="FC4" s="724"/>
      <c r="FD4" s="725"/>
      <c r="FE4" s="5"/>
      <c r="FF4" s="714" t="s">
        <v>89</v>
      </c>
      <c r="FG4" s="715"/>
      <c r="FH4" s="726"/>
      <c r="FI4" s="726"/>
      <c r="FJ4" s="726"/>
      <c r="FK4" s="716"/>
    </row>
    <row r="5" spans="1:168" s="76" customFormat="1" ht="22.5" customHeight="1" x14ac:dyDescent="0.25">
      <c r="A5" s="56"/>
      <c r="B5" s="57" t="s">
        <v>161</v>
      </c>
      <c r="C5" s="58">
        <f>COUNT(C13:C27)</f>
        <v>15</v>
      </c>
      <c r="D5" s="58">
        <f t="shared" ref="D5:V5" si="0">COUNT(D13:D27)</f>
        <v>15</v>
      </c>
      <c r="E5" s="257">
        <f t="shared" si="0"/>
        <v>13</v>
      </c>
      <c r="F5" s="257">
        <f t="shared" si="0"/>
        <v>14</v>
      </c>
      <c r="G5" s="58">
        <f t="shared" si="0"/>
        <v>15</v>
      </c>
      <c r="H5" s="58">
        <f t="shared" si="0"/>
        <v>15</v>
      </c>
      <c r="I5" s="58">
        <f t="shared" si="0"/>
        <v>15</v>
      </c>
      <c r="J5" s="58">
        <f t="shared" si="0"/>
        <v>15</v>
      </c>
      <c r="K5" s="58">
        <f t="shared" si="0"/>
        <v>15</v>
      </c>
      <c r="L5" s="58">
        <f t="shared" si="0"/>
        <v>15</v>
      </c>
      <c r="M5" s="58">
        <f t="shared" si="0"/>
        <v>15</v>
      </c>
      <c r="N5" s="58">
        <f t="shared" si="0"/>
        <v>15</v>
      </c>
      <c r="O5" s="58">
        <f t="shared" si="0"/>
        <v>15</v>
      </c>
      <c r="P5" s="58">
        <f t="shared" si="0"/>
        <v>15</v>
      </c>
      <c r="Q5" s="58">
        <f t="shared" si="0"/>
        <v>15</v>
      </c>
      <c r="R5" s="58">
        <f t="shared" si="0"/>
        <v>15</v>
      </c>
      <c r="S5" s="58">
        <f t="shared" si="0"/>
        <v>15</v>
      </c>
      <c r="T5" s="58">
        <f t="shared" si="0"/>
        <v>15</v>
      </c>
      <c r="U5" s="58">
        <f t="shared" si="0"/>
        <v>15</v>
      </c>
      <c r="V5" s="59">
        <f t="shared" si="0"/>
        <v>15</v>
      </c>
      <c r="W5" s="11"/>
      <c r="X5" s="57" t="s">
        <v>161</v>
      </c>
      <c r="Y5" s="60">
        <f>COUNT(Y13:Y27)</f>
        <v>10</v>
      </c>
      <c r="Z5" s="60">
        <f t="shared" ref="Z5:AG5" si="1">COUNT(Z13:Z27)</f>
        <v>15</v>
      </c>
      <c r="AA5" s="60">
        <f t="shared" si="1"/>
        <v>15</v>
      </c>
      <c r="AB5" s="60">
        <f t="shared" si="1"/>
        <v>14</v>
      </c>
      <c r="AC5" s="60">
        <f t="shared" si="1"/>
        <v>13</v>
      </c>
      <c r="AD5" s="60">
        <f t="shared" si="1"/>
        <v>10</v>
      </c>
      <c r="AE5" s="60">
        <f t="shared" si="1"/>
        <v>12</v>
      </c>
      <c r="AF5" s="60">
        <f t="shared" si="1"/>
        <v>11</v>
      </c>
      <c r="AG5" s="61">
        <f t="shared" si="1"/>
        <v>11</v>
      </c>
      <c r="AH5" s="11"/>
      <c r="AI5" s="62"/>
      <c r="AJ5" s="63" t="s">
        <v>161</v>
      </c>
      <c r="AK5" s="64">
        <f>COUNT(AK13:AK27)</f>
        <v>11</v>
      </c>
      <c r="AL5" s="64">
        <f t="shared" ref="AL5:AW5" si="2">COUNT(AL13:AL27)</f>
        <v>7</v>
      </c>
      <c r="AM5" s="64">
        <f t="shared" si="2"/>
        <v>5</v>
      </c>
      <c r="AN5" s="64">
        <f t="shared" si="2"/>
        <v>5</v>
      </c>
      <c r="AO5" s="64">
        <f t="shared" si="2"/>
        <v>5</v>
      </c>
      <c r="AP5" s="65"/>
      <c r="AQ5" s="64">
        <f t="shared" si="2"/>
        <v>11</v>
      </c>
      <c r="AR5" s="64">
        <f t="shared" si="2"/>
        <v>11</v>
      </c>
      <c r="AS5" s="64">
        <f t="shared" si="2"/>
        <v>10</v>
      </c>
      <c r="AT5" s="64">
        <f t="shared" si="2"/>
        <v>11</v>
      </c>
      <c r="AU5" s="64">
        <f t="shared" si="2"/>
        <v>10</v>
      </c>
      <c r="AV5" s="64">
        <f t="shared" si="2"/>
        <v>10</v>
      </c>
      <c r="AW5" s="66">
        <f t="shared" si="2"/>
        <v>1</v>
      </c>
      <c r="AX5" s="11"/>
      <c r="AY5" s="11"/>
      <c r="AZ5" s="67" t="s">
        <v>161</v>
      </c>
      <c r="BA5" s="60">
        <f>COUNT(BA13:BA27)</f>
        <v>15</v>
      </c>
      <c r="BB5" s="60">
        <f t="shared" ref="BB5:BP5" si="3">COUNT(BB13:BB27)</f>
        <v>13</v>
      </c>
      <c r="BC5" s="60">
        <f t="shared" si="3"/>
        <v>10</v>
      </c>
      <c r="BD5" s="60">
        <f t="shared" si="3"/>
        <v>8</v>
      </c>
      <c r="BE5" s="60">
        <f t="shared" si="3"/>
        <v>8</v>
      </c>
      <c r="BF5" s="60">
        <f t="shared" si="3"/>
        <v>8</v>
      </c>
      <c r="BG5" s="60">
        <f t="shared" si="3"/>
        <v>0</v>
      </c>
      <c r="BH5" s="60">
        <f t="shared" si="3"/>
        <v>8</v>
      </c>
      <c r="BI5" s="60">
        <f t="shared" si="3"/>
        <v>9</v>
      </c>
      <c r="BJ5" s="60">
        <f t="shared" si="3"/>
        <v>10</v>
      </c>
      <c r="BK5" s="60">
        <f t="shared" si="3"/>
        <v>11</v>
      </c>
      <c r="BL5" s="60">
        <f t="shared" si="3"/>
        <v>12</v>
      </c>
      <c r="BM5" s="60">
        <f t="shared" si="3"/>
        <v>11</v>
      </c>
      <c r="BN5" s="60">
        <f t="shared" si="3"/>
        <v>11</v>
      </c>
      <c r="BO5" s="60">
        <f t="shared" si="3"/>
        <v>1</v>
      </c>
      <c r="BP5" s="61">
        <f t="shared" si="3"/>
        <v>5</v>
      </c>
      <c r="BQ5" s="11"/>
      <c r="BR5" s="11"/>
      <c r="BS5" s="68" t="s">
        <v>161</v>
      </c>
      <c r="BT5" s="64">
        <f>COUNT(BT13:BT27)</f>
        <v>15</v>
      </c>
      <c r="BU5" s="270">
        <f>COUNT(BU13:BU27)</f>
        <v>0</v>
      </c>
      <c r="BV5" s="64">
        <f t="shared" ref="BV5:CF5" si="4">COUNT(BV13:BV27)</f>
        <v>12</v>
      </c>
      <c r="BW5" s="64">
        <f t="shared" si="4"/>
        <v>1</v>
      </c>
      <c r="BX5" s="64">
        <f t="shared" si="4"/>
        <v>0</v>
      </c>
      <c r="BY5" s="64">
        <f t="shared" si="4"/>
        <v>0</v>
      </c>
      <c r="BZ5" s="64">
        <f t="shared" si="4"/>
        <v>0</v>
      </c>
      <c r="CA5" s="64">
        <f t="shared" si="4"/>
        <v>8</v>
      </c>
      <c r="CB5" s="64">
        <f t="shared" si="4"/>
        <v>0</v>
      </c>
      <c r="CC5" s="64">
        <f t="shared" si="4"/>
        <v>0</v>
      </c>
      <c r="CD5" s="64">
        <f t="shared" si="4"/>
        <v>0</v>
      </c>
      <c r="CE5" s="64">
        <f t="shared" si="4"/>
        <v>0</v>
      </c>
      <c r="CF5" s="66">
        <f t="shared" si="4"/>
        <v>0</v>
      </c>
      <c r="CG5" s="11"/>
      <c r="CH5" s="11"/>
      <c r="CI5" s="68" t="s">
        <v>161</v>
      </c>
      <c r="CJ5" s="64">
        <f>COUNT(CJ13:CJ27)</f>
        <v>14</v>
      </c>
      <c r="CK5" s="64">
        <f t="shared" ref="CK5:CP5" si="5">COUNT(CK13:CK27)</f>
        <v>1</v>
      </c>
      <c r="CL5" s="64">
        <f t="shared" si="5"/>
        <v>0</v>
      </c>
      <c r="CM5" s="64">
        <f t="shared" si="5"/>
        <v>15</v>
      </c>
      <c r="CN5" s="64">
        <f t="shared" si="5"/>
        <v>9</v>
      </c>
      <c r="CO5" s="64">
        <f t="shared" si="5"/>
        <v>10</v>
      </c>
      <c r="CP5" s="66">
        <f t="shared" si="5"/>
        <v>15</v>
      </c>
      <c r="CQ5" s="69"/>
      <c r="CR5" s="69"/>
      <c r="CS5" s="68" t="s">
        <v>161</v>
      </c>
      <c r="CT5" s="64">
        <f>COUNT(CT13:CT27)</f>
        <v>1</v>
      </c>
      <c r="CU5" s="64">
        <f t="shared" ref="CU5:DC5" si="6">COUNT(CU13:CU27)</f>
        <v>9</v>
      </c>
      <c r="CV5" s="64">
        <f t="shared" si="6"/>
        <v>1</v>
      </c>
      <c r="CW5" s="64">
        <f t="shared" si="6"/>
        <v>1</v>
      </c>
      <c r="CX5" s="64">
        <f t="shared" si="6"/>
        <v>1</v>
      </c>
      <c r="CY5" s="64">
        <f t="shared" si="6"/>
        <v>1</v>
      </c>
      <c r="CZ5" s="64">
        <f t="shared" si="6"/>
        <v>3</v>
      </c>
      <c r="DA5" s="64">
        <f t="shared" si="6"/>
        <v>2</v>
      </c>
      <c r="DB5" s="64">
        <f t="shared" si="6"/>
        <v>1</v>
      </c>
      <c r="DC5" s="66">
        <f t="shared" si="6"/>
        <v>1</v>
      </c>
      <c r="DD5" s="69"/>
      <c r="DE5" s="70"/>
      <c r="DF5" s="71" t="s">
        <v>161</v>
      </c>
      <c r="DG5" s="72">
        <f>COUNT(DG13:DG27)</f>
        <v>6</v>
      </c>
      <c r="DH5" s="72">
        <f t="shared" ref="DH5:DR5" si="7">COUNT(DH13:DH27)</f>
        <v>10</v>
      </c>
      <c r="DI5" s="72">
        <f t="shared" si="7"/>
        <v>0</v>
      </c>
      <c r="DJ5" s="72">
        <f t="shared" si="7"/>
        <v>0</v>
      </c>
      <c r="DK5" s="72">
        <f t="shared" si="7"/>
        <v>0</v>
      </c>
      <c r="DL5" s="72"/>
      <c r="DM5" s="72">
        <f t="shared" si="7"/>
        <v>1</v>
      </c>
      <c r="DN5" s="72">
        <f t="shared" si="7"/>
        <v>2</v>
      </c>
      <c r="DO5" s="72">
        <f t="shared" si="7"/>
        <v>0</v>
      </c>
      <c r="DP5" s="72">
        <f t="shared" si="7"/>
        <v>0</v>
      </c>
      <c r="DQ5" s="351"/>
      <c r="DR5" s="73">
        <f t="shared" si="7"/>
        <v>0</v>
      </c>
      <c r="DS5" s="74"/>
      <c r="DT5" s="11"/>
      <c r="DU5" s="75" t="s">
        <v>161</v>
      </c>
      <c r="DV5" s="58">
        <f>COUNT(DV13:DV27)</f>
        <v>11</v>
      </c>
      <c r="DW5" s="58">
        <f>COUNT(DW13:DW27)</f>
        <v>6</v>
      </c>
      <c r="DX5" s="58">
        <f>COUNT(DX13:DX27)</f>
        <v>6</v>
      </c>
      <c r="DY5" s="11"/>
      <c r="DZ5" s="11"/>
      <c r="EA5" s="68" t="s">
        <v>161</v>
      </c>
      <c r="EB5" s="64">
        <f>COUNT(EB13:EB27)</f>
        <v>3</v>
      </c>
      <c r="EC5" s="64">
        <f t="shared" ref="EC5:ER5" si="8">COUNT(EC13:EC27)</f>
        <v>4</v>
      </c>
      <c r="ED5" s="64">
        <f t="shared" si="8"/>
        <v>3</v>
      </c>
      <c r="EE5" s="64">
        <f t="shared" si="8"/>
        <v>5</v>
      </c>
      <c r="EF5" s="64">
        <f t="shared" si="8"/>
        <v>3</v>
      </c>
      <c r="EG5" s="64">
        <f t="shared" si="8"/>
        <v>4</v>
      </c>
      <c r="EH5" s="64">
        <f t="shared" si="8"/>
        <v>0</v>
      </c>
      <c r="EI5" s="64">
        <f t="shared" si="8"/>
        <v>0</v>
      </c>
      <c r="EJ5" s="64">
        <f t="shared" si="8"/>
        <v>0</v>
      </c>
      <c r="EK5" s="64">
        <f t="shared" si="8"/>
        <v>0</v>
      </c>
      <c r="EL5" s="64">
        <f t="shared" si="8"/>
        <v>0</v>
      </c>
      <c r="EM5" s="64">
        <f t="shared" si="8"/>
        <v>0</v>
      </c>
      <c r="EN5" s="64">
        <f t="shared" si="8"/>
        <v>0</v>
      </c>
      <c r="EO5" s="64">
        <f t="shared" si="8"/>
        <v>0</v>
      </c>
      <c r="EP5" s="66">
        <f t="shared" si="8"/>
        <v>14</v>
      </c>
      <c r="EQ5" s="282">
        <f t="shared" si="8"/>
        <v>15</v>
      </c>
      <c r="ER5" s="282">
        <f t="shared" si="8"/>
        <v>9</v>
      </c>
      <c r="ES5" s="74"/>
      <c r="ET5" s="11"/>
      <c r="EU5" s="67" t="s">
        <v>161</v>
      </c>
      <c r="EV5" s="58">
        <f>COUNT(EV13:EV27)</f>
        <v>0</v>
      </c>
      <c r="EW5" s="58">
        <f t="shared" ref="EW5:FC5" si="9">COUNT(EX13:EX27)</f>
        <v>0</v>
      </c>
      <c r="EX5" s="58">
        <f t="shared" si="9"/>
        <v>0</v>
      </c>
      <c r="EY5" s="58">
        <f t="shared" si="9"/>
        <v>0</v>
      </c>
      <c r="EZ5" s="58">
        <f t="shared" si="9"/>
        <v>0</v>
      </c>
      <c r="FA5" s="58">
        <f>COUNT(FC13:FC27)</f>
        <v>0</v>
      </c>
      <c r="FB5" s="58"/>
      <c r="FC5" s="58">
        <f t="shared" si="9"/>
        <v>0</v>
      </c>
      <c r="FD5" s="59">
        <f>COUNT(#REF!)</f>
        <v>0</v>
      </c>
      <c r="FE5" s="11"/>
      <c r="FF5" s="67" t="s">
        <v>161</v>
      </c>
      <c r="FG5" s="60">
        <f>COUNT(FG13:FG27)</f>
        <v>12</v>
      </c>
      <c r="FH5" s="60">
        <f>COUNT(FH13:FH27)</f>
        <v>12</v>
      </c>
      <c r="FI5" s="60">
        <f>COUNT(FI13:FI27)</f>
        <v>12</v>
      </c>
      <c r="FJ5" s="60">
        <f>COUNT(FJ13:FJ27)</f>
        <v>12</v>
      </c>
      <c r="FK5" s="61">
        <f>COUNT(FK13:FK27)</f>
        <v>13</v>
      </c>
    </row>
    <row r="6" spans="1:168" s="76" customFormat="1" ht="22.5" customHeight="1" x14ac:dyDescent="0.25">
      <c r="A6" s="56"/>
      <c r="B6" s="77" t="s">
        <v>162</v>
      </c>
      <c r="C6" s="60">
        <f>+COUNTBLANK(C13:C27)</f>
        <v>0</v>
      </c>
      <c r="D6" s="60">
        <f t="shared" ref="D6:V6" si="10">+COUNTBLANK(D13:D27)</f>
        <v>0</v>
      </c>
      <c r="E6" s="258">
        <f t="shared" si="10"/>
        <v>2</v>
      </c>
      <c r="F6" s="258">
        <f t="shared" si="10"/>
        <v>1</v>
      </c>
      <c r="G6" s="60">
        <f t="shared" si="10"/>
        <v>0</v>
      </c>
      <c r="H6" s="60">
        <f t="shared" si="10"/>
        <v>0</v>
      </c>
      <c r="I6" s="60">
        <f t="shared" si="10"/>
        <v>0</v>
      </c>
      <c r="J6" s="60">
        <f t="shared" si="10"/>
        <v>0</v>
      </c>
      <c r="K6" s="60">
        <f t="shared" si="10"/>
        <v>0</v>
      </c>
      <c r="L6" s="60">
        <f t="shared" si="10"/>
        <v>0</v>
      </c>
      <c r="M6" s="60">
        <f t="shared" si="10"/>
        <v>0</v>
      </c>
      <c r="N6" s="60">
        <f t="shared" si="10"/>
        <v>0</v>
      </c>
      <c r="O6" s="60">
        <f t="shared" si="10"/>
        <v>0</v>
      </c>
      <c r="P6" s="60">
        <f t="shared" si="10"/>
        <v>0</v>
      </c>
      <c r="Q6" s="60">
        <f t="shared" si="10"/>
        <v>0</v>
      </c>
      <c r="R6" s="60">
        <f t="shared" si="10"/>
        <v>0</v>
      </c>
      <c r="S6" s="60">
        <f t="shared" si="10"/>
        <v>0</v>
      </c>
      <c r="T6" s="60">
        <f t="shared" si="10"/>
        <v>0</v>
      </c>
      <c r="U6" s="60">
        <f t="shared" si="10"/>
        <v>0</v>
      </c>
      <c r="V6" s="61">
        <f t="shared" si="10"/>
        <v>0</v>
      </c>
      <c r="W6" s="11"/>
      <c r="X6" s="77" t="s">
        <v>162</v>
      </c>
      <c r="Y6" s="60">
        <f>+COUNTBLANK(Y13:Y27)</f>
        <v>5</v>
      </c>
      <c r="Z6" s="60">
        <f t="shared" ref="Z6:AG6" si="11">+COUNTBLANK(Z13:Z27)</f>
        <v>0</v>
      </c>
      <c r="AA6" s="60">
        <f t="shared" si="11"/>
        <v>0</v>
      </c>
      <c r="AB6" s="60">
        <f t="shared" si="11"/>
        <v>1</v>
      </c>
      <c r="AC6" s="60">
        <f t="shared" si="11"/>
        <v>2</v>
      </c>
      <c r="AD6" s="60">
        <f t="shared" si="11"/>
        <v>5</v>
      </c>
      <c r="AE6" s="60">
        <f t="shared" si="11"/>
        <v>3</v>
      </c>
      <c r="AF6" s="60">
        <f t="shared" si="11"/>
        <v>4</v>
      </c>
      <c r="AG6" s="61">
        <f t="shared" si="11"/>
        <v>4</v>
      </c>
      <c r="AH6" s="11"/>
      <c r="AI6" s="62"/>
      <c r="AJ6" s="78" t="s">
        <v>162</v>
      </c>
      <c r="AK6" s="64">
        <f>+COUNTBLANK(AK13:AK27)</f>
        <v>2</v>
      </c>
      <c r="AL6" s="64">
        <f t="shared" ref="AL6:AW6" si="12">+COUNTBLANK(AL13:AL27)</f>
        <v>4</v>
      </c>
      <c r="AM6" s="64">
        <f t="shared" si="12"/>
        <v>4</v>
      </c>
      <c r="AN6" s="64">
        <f t="shared" si="12"/>
        <v>0</v>
      </c>
      <c r="AO6" s="64">
        <f t="shared" si="12"/>
        <v>0</v>
      </c>
      <c r="AP6" s="65"/>
      <c r="AQ6" s="64">
        <f t="shared" si="12"/>
        <v>2</v>
      </c>
      <c r="AR6" s="64">
        <f t="shared" si="12"/>
        <v>2</v>
      </c>
      <c r="AS6" s="64">
        <f t="shared" si="12"/>
        <v>2</v>
      </c>
      <c r="AT6" s="64">
        <f t="shared" si="12"/>
        <v>2</v>
      </c>
      <c r="AU6" s="64">
        <f t="shared" si="12"/>
        <v>3</v>
      </c>
      <c r="AV6" s="64">
        <f t="shared" si="12"/>
        <v>3</v>
      </c>
      <c r="AW6" s="66">
        <f t="shared" si="12"/>
        <v>3</v>
      </c>
      <c r="AX6" s="11"/>
      <c r="AY6" s="11"/>
      <c r="AZ6" s="79" t="s">
        <v>162</v>
      </c>
      <c r="BA6" s="60">
        <f>+COUNTBLANK(BA13:BA27)</f>
        <v>0</v>
      </c>
      <c r="BB6" s="60">
        <f t="shared" ref="BB6:BP6" si="13">+COUNTBLANK(BB13:BB27)</f>
        <v>2</v>
      </c>
      <c r="BC6" s="60">
        <f t="shared" si="13"/>
        <v>4</v>
      </c>
      <c r="BD6" s="60">
        <f t="shared" si="13"/>
        <v>4</v>
      </c>
      <c r="BE6" s="60">
        <f t="shared" si="13"/>
        <v>1</v>
      </c>
      <c r="BF6" s="60">
        <f t="shared" si="13"/>
        <v>1</v>
      </c>
      <c r="BG6" s="60">
        <f t="shared" si="13"/>
        <v>0</v>
      </c>
      <c r="BH6" s="60">
        <f t="shared" si="13"/>
        <v>6</v>
      </c>
      <c r="BI6" s="60">
        <f t="shared" si="13"/>
        <v>2</v>
      </c>
      <c r="BJ6" s="60">
        <f t="shared" si="13"/>
        <v>3</v>
      </c>
      <c r="BK6" s="60">
        <f t="shared" si="13"/>
        <v>2</v>
      </c>
      <c r="BL6" s="60">
        <f t="shared" si="13"/>
        <v>1</v>
      </c>
      <c r="BM6" s="60">
        <f t="shared" si="13"/>
        <v>2</v>
      </c>
      <c r="BN6" s="60">
        <f t="shared" si="13"/>
        <v>2</v>
      </c>
      <c r="BO6" s="60">
        <f t="shared" si="13"/>
        <v>2</v>
      </c>
      <c r="BP6" s="61">
        <f t="shared" si="13"/>
        <v>8</v>
      </c>
      <c r="BQ6" s="74"/>
      <c r="BR6" s="11"/>
      <c r="BS6" s="80" t="s">
        <v>162</v>
      </c>
      <c r="BT6" s="64">
        <f>+COUNTBLANK(BT13:BT27)</f>
        <v>0</v>
      </c>
      <c r="BU6" s="270">
        <f>+COUNTBLANK(BU13:BU27)</f>
        <v>15</v>
      </c>
      <c r="BV6" s="64">
        <f t="shared" ref="BV6:CF6" si="14">+COUNTBLANK(BV13:BV27)</f>
        <v>3</v>
      </c>
      <c r="BW6" s="64">
        <f t="shared" si="14"/>
        <v>3</v>
      </c>
      <c r="BX6" s="64">
        <f t="shared" si="14"/>
        <v>0</v>
      </c>
      <c r="BY6" s="64">
        <f t="shared" si="14"/>
        <v>0</v>
      </c>
      <c r="BZ6" s="64">
        <f t="shared" si="14"/>
        <v>0</v>
      </c>
      <c r="CA6" s="64">
        <f t="shared" si="14"/>
        <v>5</v>
      </c>
      <c r="CB6" s="64">
        <f t="shared" si="14"/>
        <v>3</v>
      </c>
      <c r="CC6" s="64">
        <f t="shared" si="14"/>
        <v>3</v>
      </c>
      <c r="CD6" s="64">
        <f t="shared" si="14"/>
        <v>3</v>
      </c>
      <c r="CE6" s="64">
        <f t="shared" si="14"/>
        <v>3</v>
      </c>
      <c r="CF6" s="66">
        <f t="shared" si="14"/>
        <v>3</v>
      </c>
      <c r="CG6" s="74"/>
      <c r="CH6" s="11"/>
      <c r="CI6" s="80" t="s">
        <v>162</v>
      </c>
      <c r="CJ6" s="64">
        <f>+COUNTBLANK(CJ13:CJ27)</f>
        <v>1</v>
      </c>
      <c r="CK6" s="64">
        <f t="shared" ref="CK6:CP6" si="15">+COUNTBLANK(CK13:CK27)</f>
        <v>4</v>
      </c>
      <c r="CL6" s="64">
        <f t="shared" si="15"/>
        <v>0</v>
      </c>
      <c r="CM6" s="64">
        <f t="shared" si="15"/>
        <v>0</v>
      </c>
      <c r="CN6" s="64">
        <f t="shared" si="15"/>
        <v>6</v>
      </c>
      <c r="CO6" s="64">
        <f t="shared" si="15"/>
        <v>5</v>
      </c>
      <c r="CP6" s="66">
        <f t="shared" si="15"/>
        <v>0</v>
      </c>
      <c r="CQ6" s="81"/>
      <c r="CR6" s="82"/>
      <c r="CS6" s="80" t="s">
        <v>162</v>
      </c>
      <c r="CT6" s="64">
        <f>+COUNTBLANK(CT13:CT27)</f>
        <v>14</v>
      </c>
      <c r="CU6" s="64">
        <f t="shared" ref="CU6:DC6" si="16">+COUNTBLANK(CU13:CU27)</f>
        <v>6</v>
      </c>
      <c r="CV6" s="64">
        <f t="shared" si="16"/>
        <v>14</v>
      </c>
      <c r="CW6" s="64">
        <f t="shared" si="16"/>
        <v>14</v>
      </c>
      <c r="CX6" s="64">
        <f t="shared" si="16"/>
        <v>14</v>
      </c>
      <c r="CY6" s="64">
        <f t="shared" si="16"/>
        <v>14</v>
      </c>
      <c r="CZ6" s="64">
        <f t="shared" si="16"/>
        <v>12</v>
      </c>
      <c r="DA6" s="64">
        <f t="shared" si="16"/>
        <v>13</v>
      </c>
      <c r="DB6" s="64">
        <f t="shared" si="16"/>
        <v>14</v>
      </c>
      <c r="DC6" s="66">
        <f t="shared" si="16"/>
        <v>14</v>
      </c>
      <c r="DD6" s="83"/>
      <c r="DE6" s="84"/>
      <c r="DF6" s="85" t="s">
        <v>162</v>
      </c>
      <c r="DG6" s="72">
        <f>+COUNTBLANK(DG13:DG27)</f>
        <v>5</v>
      </c>
      <c r="DH6" s="72">
        <f t="shared" ref="DH6:DR6" si="17">+COUNTBLANK(DH13:DH27)</f>
        <v>5</v>
      </c>
      <c r="DI6" s="72">
        <f t="shared" si="17"/>
        <v>15</v>
      </c>
      <c r="DJ6" s="72">
        <f t="shared" si="17"/>
        <v>15</v>
      </c>
      <c r="DK6" s="72">
        <f t="shared" si="17"/>
        <v>15</v>
      </c>
      <c r="DL6" s="72"/>
      <c r="DM6" s="72">
        <f t="shared" si="17"/>
        <v>14</v>
      </c>
      <c r="DN6" s="72">
        <f t="shared" si="17"/>
        <v>13</v>
      </c>
      <c r="DO6" s="72">
        <f t="shared" si="17"/>
        <v>15</v>
      </c>
      <c r="DP6" s="72">
        <f t="shared" si="17"/>
        <v>15</v>
      </c>
      <c r="DQ6" s="351"/>
      <c r="DR6" s="73">
        <f t="shared" si="17"/>
        <v>15</v>
      </c>
      <c r="DS6" s="74"/>
      <c r="DT6" s="86"/>
      <c r="DU6" s="60" t="s">
        <v>162</v>
      </c>
      <c r="DV6" s="60">
        <f>+COUNTBLANK(DV13:DV27)</f>
        <v>4</v>
      </c>
      <c r="DW6" s="60">
        <f>+COUNTBLANK(DW13:DW27)</f>
        <v>9</v>
      </c>
      <c r="DX6" s="60">
        <f>+COUNTBLANK(DX13:DX27)</f>
        <v>9</v>
      </c>
      <c r="DY6" s="87"/>
      <c r="DZ6" s="88"/>
      <c r="EA6" s="80" t="s">
        <v>162</v>
      </c>
      <c r="EB6" s="64">
        <f>+COUNTBLANK(EB13:EB27)</f>
        <v>12</v>
      </c>
      <c r="EC6" s="64">
        <f t="shared" ref="EC6:ER6" si="18">+COUNTBLANK(EC13:EC27)</f>
        <v>11</v>
      </c>
      <c r="ED6" s="64">
        <f t="shared" si="18"/>
        <v>0</v>
      </c>
      <c r="EE6" s="64">
        <f t="shared" si="18"/>
        <v>10</v>
      </c>
      <c r="EF6" s="64">
        <f t="shared" si="18"/>
        <v>0</v>
      </c>
      <c r="EG6" s="64">
        <f t="shared" si="18"/>
        <v>11</v>
      </c>
      <c r="EH6" s="64">
        <f t="shared" si="18"/>
        <v>15</v>
      </c>
      <c r="EI6" s="64">
        <f t="shared" si="18"/>
        <v>15</v>
      </c>
      <c r="EJ6" s="64">
        <f t="shared" si="18"/>
        <v>15</v>
      </c>
      <c r="EK6" s="64">
        <f t="shared" si="18"/>
        <v>15</v>
      </c>
      <c r="EL6" s="64">
        <f t="shared" si="18"/>
        <v>15</v>
      </c>
      <c r="EM6" s="64">
        <f t="shared" si="18"/>
        <v>15</v>
      </c>
      <c r="EN6" s="64">
        <f t="shared" si="18"/>
        <v>15</v>
      </c>
      <c r="EO6" s="64">
        <f t="shared" si="18"/>
        <v>15</v>
      </c>
      <c r="EP6" s="66">
        <f t="shared" si="18"/>
        <v>1</v>
      </c>
      <c r="EQ6" s="282">
        <f t="shared" si="18"/>
        <v>0</v>
      </c>
      <c r="ER6" s="282">
        <f t="shared" si="18"/>
        <v>5</v>
      </c>
      <c r="ES6" s="74"/>
      <c r="ET6" s="11"/>
      <c r="EU6" s="79" t="s">
        <v>162</v>
      </c>
      <c r="EV6" s="60">
        <f>+COUNTBLANK(EV13:EV27)</f>
        <v>15</v>
      </c>
      <c r="EW6" s="60">
        <f>+COUNTBLANK(EW13:EW27)</f>
        <v>15</v>
      </c>
      <c r="EX6" s="60">
        <f t="shared" ref="EX6:FD6" si="19">+COUNTBLANK(EX13:EX27)</f>
        <v>15</v>
      </c>
      <c r="EY6" s="60">
        <f t="shared" si="19"/>
        <v>15</v>
      </c>
      <c r="EZ6" s="60">
        <f t="shared" si="19"/>
        <v>15</v>
      </c>
      <c r="FA6" s="60">
        <f t="shared" si="19"/>
        <v>15</v>
      </c>
      <c r="FB6" s="60">
        <f t="shared" si="19"/>
        <v>0</v>
      </c>
      <c r="FC6" s="60">
        <f t="shared" si="19"/>
        <v>15</v>
      </c>
      <c r="FD6" s="60">
        <f t="shared" si="19"/>
        <v>15</v>
      </c>
      <c r="FE6" s="11"/>
      <c r="FF6" s="79" t="s">
        <v>162</v>
      </c>
      <c r="FG6" s="60">
        <f>+COUNTBLANK(FG13:FG27)</f>
        <v>3</v>
      </c>
      <c r="FH6" s="60">
        <f>+COUNTBLANK(FH13:FH27)</f>
        <v>3</v>
      </c>
      <c r="FI6" s="60">
        <f>+COUNTBLANK(FI13:FI27)</f>
        <v>3</v>
      </c>
      <c r="FJ6" s="60">
        <f>+COUNTBLANK(FJ13:FJ27)</f>
        <v>3</v>
      </c>
      <c r="FK6" s="61">
        <f>+COUNTBLANK(FK13:FK27)</f>
        <v>2</v>
      </c>
    </row>
    <row r="7" spans="1:168" s="106" customFormat="1" ht="22.5" customHeight="1" x14ac:dyDescent="0.25">
      <c r="A7" s="89"/>
      <c r="B7" s="57" t="s">
        <v>163</v>
      </c>
      <c r="C7" s="90">
        <f>1-(C6/15)</f>
        <v>1</v>
      </c>
      <c r="D7" s="90">
        <f t="shared" ref="D7:V7" si="20">1-(D6/15)</f>
        <v>1</v>
      </c>
      <c r="E7" s="259">
        <f t="shared" si="20"/>
        <v>0.8666666666666667</v>
      </c>
      <c r="F7" s="259">
        <f t="shared" si="20"/>
        <v>0.93333333333333335</v>
      </c>
      <c r="G7" s="90">
        <f t="shared" si="20"/>
        <v>1</v>
      </c>
      <c r="H7" s="90">
        <f t="shared" si="20"/>
        <v>1</v>
      </c>
      <c r="I7" s="90">
        <f t="shared" si="20"/>
        <v>1</v>
      </c>
      <c r="J7" s="90">
        <f t="shared" si="20"/>
        <v>1</v>
      </c>
      <c r="K7" s="90">
        <f t="shared" si="20"/>
        <v>1</v>
      </c>
      <c r="L7" s="90">
        <f t="shared" si="20"/>
        <v>1</v>
      </c>
      <c r="M7" s="90">
        <f t="shared" si="20"/>
        <v>1</v>
      </c>
      <c r="N7" s="90">
        <f t="shared" si="20"/>
        <v>1</v>
      </c>
      <c r="O7" s="90">
        <f t="shared" si="20"/>
        <v>1</v>
      </c>
      <c r="P7" s="90">
        <f t="shared" si="20"/>
        <v>1</v>
      </c>
      <c r="Q7" s="90">
        <f t="shared" si="20"/>
        <v>1</v>
      </c>
      <c r="R7" s="90">
        <f t="shared" si="20"/>
        <v>1</v>
      </c>
      <c r="S7" s="90">
        <f t="shared" si="20"/>
        <v>1</v>
      </c>
      <c r="T7" s="90">
        <f t="shared" si="20"/>
        <v>1</v>
      </c>
      <c r="U7" s="90">
        <f t="shared" si="20"/>
        <v>1</v>
      </c>
      <c r="V7" s="91">
        <f t="shared" si="20"/>
        <v>1</v>
      </c>
      <c r="W7" s="92"/>
      <c r="X7" s="57" t="s">
        <v>163</v>
      </c>
      <c r="Y7" s="93">
        <f>1-(Y6/15)</f>
        <v>0.66666666666666674</v>
      </c>
      <c r="Z7" s="93">
        <f t="shared" ref="Z7:AG7" si="21">1-(Z6/15)</f>
        <v>1</v>
      </c>
      <c r="AA7" s="93">
        <f t="shared" si="21"/>
        <v>1</v>
      </c>
      <c r="AB7" s="93">
        <f t="shared" si="21"/>
        <v>0.93333333333333335</v>
      </c>
      <c r="AC7" s="93">
        <f t="shared" si="21"/>
        <v>0.8666666666666667</v>
      </c>
      <c r="AD7" s="93">
        <f t="shared" si="21"/>
        <v>0.66666666666666674</v>
      </c>
      <c r="AE7" s="93">
        <f t="shared" si="21"/>
        <v>0.8</v>
      </c>
      <c r="AF7" s="93">
        <f t="shared" si="21"/>
        <v>0.73333333333333339</v>
      </c>
      <c r="AG7" s="94">
        <f t="shared" si="21"/>
        <v>0.73333333333333339</v>
      </c>
      <c r="AH7" s="95"/>
      <c r="AI7" s="96"/>
      <c r="AJ7" s="63" t="s">
        <v>163</v>
      </c>
      <c r="AK7" s="97">
        <f>1-(AK6/15)</f>
        <v>0.8666666666666667</v>
      </c>
      <c r="AL7" s="97">
        <f t="shared" ref="AL7:AW7" si="22">1-(AL6/15)</f>
        <v>0.73333333333333339</v>
      </c>
      <c r="AM7" s="97">
        <f t="shared" si="22"/>
        <v>0.73333333333333339</v>
      </c>
      <c r="AN7" s="97">
        <f t="shared" si="22"/>
        <v>1</v>
      </c>
      <c r="AO7" s="97">
        <f t="shared" si="22"/>
        <v>1</v>
      </c>
      <c r="AP7" s="65"/>
      <c r="AQ7" s="97">
        <f t="shared" si="22"/>
        <v>0.8666666666666667</v>
      </c>
      <c r="AR7" s="97">
        <f t="shared" si="22"/>
        <v>0.8666666666666667</v>
      </c>
      <c r="AS7" s="97">
        <f t="shared" si="22"/>
        <v>0.8666666666666667</v>
      </c>
      <c r="AT7" s="97">
        <f t="shared" si="22"/>
        <v>0.8666666666666667</v>
      </c>
      <c r="AU7" s="97">
        <f t="shared" si="22"/>
        <v>0.8</v>
      </c>
      <c r="AV7" s="97">
        <f t="shared" si="22"/>
        <v>0.8</v>
      </c>
      <c r="AW7" s="98">
        <f t="shared" si="22"/>
        <v>0.8</v>
      </c>
      <c r="AX7" s="95"/>
      <c r="AY7" s="92"/>
      <c r="AZ7" s="57" t="s">
        <v>163</v>
      </c>
      <c r="BA7" s="93">
        <f t="shared" ref="BA7:BP7" si="23">1-(BA6/15)</f>
        <v>1</v>
      </c>
      <c r="BB7" s="93">
        <f t="shared" si="23"/>
        <v>0.8666666666666667</v>
      </c>
      <c r="BC7" s="93">
        <f t="shared" si="23"/>
        <v>0.73333333333333339</v>
      </c>
      <c r="BD7" s="93">
        <f t="shared" si="23"/>
        <v>0.73333333333333339</v>
      </c>
      <c r="BE7" s="93">
        <f t="shared" si="23"/>
        <v>0.93333333333333335</v>
      </c>
      <c r="BF7" s="93">
        <f t="shared" si="23"/>
        <v>0.93333333333333335</v>
      </c>
      <c r="BG7" s="93">
        <f t="shared" si="23"/>
        <v>1</v>
      </c>
      <c r="BH7" s="93">
        <f t="shared" si="23"/>
        <v>0.6</v>
      </c>
      <c r="BI7" s="93">
        <f t="shared" si="23"/>
        <v>0.8666666666666667</v>
      </c>
      <c r="BJ7" s="93">
        <f t="shared" si="23"/>
        <v>0.8</v>
      </c>
      <c r="BK7" s="93">
        <f t="shared" si="23"/>
        <v>0.8666666666666667</v>
      </c>
      <c r="BL7" s="93">
        <f t="shared" si="23"/>
        <v>0.93333333333333335</v>
      </c>
      <c r="BM7" s="93">
        <f t="shared" si="23"/>
        <v>0.8666666666666667</v>
      </c>
      <c r="BN7" s="93">
        <f t="shared" si="23"/>
        <v>0.8666666666666667</v>
      </c>
      <c r="BO7" s="93">
        <f t="shared" si="23"/>
        <v>0.8666666666666667</v>
      </c>
      <c r="BP7" s="94">
        <f t="shared" si="23"/>
        <v>0.46666666666666667</v>
      </c>
      <c r="BQ7" s="92"/>
      <c r="BR7" s="92"/>
      <c r="BS7" s="99" t="s">
        <v>163</v>
      </c>
      <c r="BT7" s="97">
        <f t="shared" ref="BT7:CF7" si="24">1-(BT6/15)</f>
        <v>1</v>
      </c>
      <c r="BU7" s="271">
        <f t="shared" si="24"/>
        <v>0</v>
      </c>
      <c r="BV7" s="97">
        <f t="shared" si="24"/>
        <v>0.8</v>
      </c>
      <c r="BW7" s="97">
        <f t="shared" si="24"/>
        <v>0.8</v>
      </c>
      <c r="BX7" s="97">
        <f t="shared" si="24"/>
        <v>1</v>
      </c>
      <c r="BY7" s="97">
        <f t="shared" si="24"/>
        <v>1</v>
      </c>
      <c r="BZ7" s="97">
        <f t="shared" si="24"/>
        <v>1</v>
      </c>
      <c r="CA7" s="97">
        <f t="shared" si="24"/>
        <v>0.66666666666666674</v>
      </c>
      <c r="CB7" s="97">
        <f t="shared" si="24"/>
        <v>0.8</v>
      </c>
      <c r="CC7" s="97">
        <f t="shared" si="24"/>
        <v>0.8</v>
      </c>
      <c r="CD7" s="97">
        <f t="shared" si="24"/>
        <v>0.8</v>
      </c>
      <c r="CE7" s="97">
        <f t="shared" si="24"/>
        <v>0.8</v>
      </c>
      <c r="CF7" s="98">
        <f t="shared" si="24"/>
        <v>0.8</v>
      </c>
      <c r="CG7" s="92"/>
      <c r="CH7" s="92"/>
      <c r="CI7" s="99" t="s">
        <v>163</v>
      </c>
      <c r="CJ7" s="97">
        <f t="shared" ref="CJ7:CP7" si="25">1-(CJ6/15)</f>
        <v>0.93333333333333335</v>
      </c>
      <c r="CK7" s="97">
        <f t="shared" si="25"/>
        <v>0.73333333333333339</v>
      </c>
      <c r="CL7" s="97">
        <f t="shared" si="25"/>
        <v>1</v>
      </c>
      <c r="CM7" s="97">
        <f t="shared" si="25"/>
        <v>1</v>
      </c>
      <c r="CN7" s="97">
        <f t="shared" si="25"/>
        <v>0.6</v>
      </c>
      <c r="CO7" s="97">
        <f t="shared" si="25"/>
        <v>0.66666666666666674</v>
      </c>
      <c r="CP7" s="98">
        <f t="shared" si="25"/>
        <v>1</v>
      </c>
      <c r="CQ7" s="100"/>
      <c r="CR7" s="100"/>
      <c r="CS7" s="99" t="s">
        <v>163</v>
      </c>
      <c r="CT7" s="97">
        <f t="shared" ref="CT7:DC7" si="26">1-(CT6/15)</f>
        <v>6.6666666666666652E-2</v>
      </c>
      <c r="CU7" s="97">
        <f t="shared" si="26"/>
        <v>0.6</v>
      </c>
      <c r="CV7" s="97">
        <f t="shared" si="26"/>
        <v>6.6666666666666652E-2</v>
      </c>
      <c r="CW7" s="97">
        <f t="shared" si="26"/>
        <v>6.6666666666666652E-2</v>
      </c>
      <c r="CX7" s="97">
        <f t="shared" si="26"/>
        <v>6.6666666666666652E-2</v>
      </c>
      <c r="CY7" s="97">
        <f t="shared" si="26"/>
        <v>6.6666666666666652E-2</v>
      </c>
      <c r="CZ7" s="97">
        <f t="shared" si="26"/>
        <v>0.19999999999999996</v>
      </c>
      <c r="DA7" s="97">
        <f t="shared" si="26"/>
        <v>0.1333333333333333</v>
      </c>
      <c r="DB7" s="97">
        <f t="shared" si="26"/>
        <v>6.6666666666666652E-2</v>
      </c>
      <c r="DC7" s="98">
        <f t="shared" si="26"/>
        <v>6.6666666666666652E-2</v>
      </c>
      <c r="DD7" s="100"/>
      <c r="DE7" s="101"/>
      <c r="DF7" s="102" t="s">
        <v>163</v>
      </c>
      <c r="DG7" s="103">
        <f>1-(DG6/15)</f>
        <v>0.66666666666666674</v>
      </c>
      <c r="DH7" s="103">
        <f>1-(DH6/15)</f>
        <v>0.66666666666666674</v>
      </c>
      <c r="DI7" s="103">
        <f>1-(DI6/15)</f>
        <v>0</v>
      </c>
      <c r="DJ7" s="103">
        <f>1-(DJ6/15)</f>
        <v>0</v>
      </c>
      <c r="DK7" s="103">
        <f>1-(DK6/15)</f>
        <v>0</v>
      </c>
      <c r="DL7" s="103"/>
      <c r="DM7" s="103">
        <f>1-(DM6/15)</f>
        <v>6.6666666666666652E-2</v>
      </c>
      <c r="DN7" s="103">
        <f>1-(DN6/15)</f>
        <v>0.1333333333333333</v>
      </c>
      <c r="DO7" s="103">
        <f>1-(DO6/15)</f>
        <v>0</v>
      </c>
      <c r="DP7" s="103">
        <f>1-(DP6/15)</f>
        <v>0</v>
      </c>
      <c r="DQ7" s="352"/>
      <c r="DR7" s="104">
        <f>1-(DR6/15)</f>
        <v>0</v>
      </c>
      <c r="DS7" s="105"/>
      <c r="DT7" s="92"/>
      <c r="DU7" s="57" t="s">
        <v>163</v>
      </c>
      <c r="DV7" s="90">
        <f>1-(DV6/15)</f>
        <v>0.73333333333333339</v>
      </c>
      <c r="DW7" s="90">
        <f>1-(DW6/15)</f>
        <v>0.4</v>
      </c>
      <c r="DX7" s="90">
        <f>1-(DX6/15)</f>
        <v>0.4</v>
      </c>
      <c r="DY7" s="92"/>
      <c r="DZ7" s="92"/>
      <c r="EA7" s="99" t="s">
        <v>163</v>
      </c>
      <c r="EB7" s="97">
        <f t="shared" ref="EB7:ER7" si="27">1-(EB6/15)</f>
        <v>0.19999999999999996</v>
      </c>
      <c r="EC7" s="97">
        <f t="shared" si="27"/>
        <v>0.26666666666666672</v>
      </c>
      <c r="ED7" s="97">
        <f t="shared" si="27"/>
        <v>1</v>
      </c>
      <c r="EE7" s="97">
        <f t="shared" si="27"/>
        <v>0.33333333333333337</v>
      </c>
      <c r="EF7" s="97">
        <f t="shared" si="27"/>
        <v>1</v>
      </c>
      <c r="EG7" s="97">
        <f t="shared" si="27"/>
        <v>0.26666666666666672</v>
      </c>
      <c r="EH7" s="97">
        <f t="shared" si="27"/>
        <v>0</v>
      </c>
      <c r="EI7" s="97">
        <f t="shared" si="27"/>
        <v>0</v>
      </c>
      <c r="EJ7" s="97">
        <f t="shared" si="27"/>
        <v>0</v>
      </c>
      <c r="EK7" s="97">
        <f t="shared" si="27"/>
        <v>0</v>
      </c>
      <c r="EL7" s="97">
        <f t="shared" si="27"/>
        <v>0</v>
      </c>
      <c r="EM7" s="97">
        <f t="shared" si="27"/>
        <v>0</v>
      </c>
      <c r="EN7" s="97">
        <f t="shared" si="27"/>
        <v>0</v>
      </c>
      <c r="EO7" s="97">
        <f t="shared" si="27"/>
        <v>0</v>
      </c>
      <c r="EP7" s="98">
        <f t="shared" si="27"/>
        <v>0.93333333333333335</v>
      </c>
      <c r="EQ7" s="283">
        <f t="shared" si="27"/>
        <v>1</v>
      </c>
      <c r="ER7" s="283">
        <f t="shared" si="27"/>
        <v>0.66666666666666674</v>
      </c>
      <c r="ES7" s="105"/>
      <c r="ET7" s="92"/>
      <c r="EU7" s="57" t="s">
        <v>163</v>
      </c>
      <c r="EV7" s="90">
        <f t="shared" ref="EV7:FD7" si="28">1-(EV6/15)</f>
        <v>0</v>
      </c>
      <c r="EW7" s="90">
        <f t="shared" si="28"/>
        <v>0</v>
      </c>
      <c r="EX7" s="90">
        <f t="shared" si="28"/>
        <v>0</v>
      </c>
      <c r="EY7" s="90">
        <f t="shared" si="28"/>
        <v>0</v>
      </c>
      <c r="EZ7" s="90">
        <f t="shared" si="28"/>
        <v>0</v>
      </c>
      <c r="FA7" s="90">
        <f t="shared" si="28"/>
        <v>0</v>
      </c>
      <c r="FB7" s="90">
        <f t="shared" si="28"/>
        <v>1</v>
      </c>
      <c r="FC7" s="90">
        <f t="shared" si="28"/>
        <v>0</v>
      </c>
      <c r="FD7" s="91">
        <f t="shared" si="28"/>
        <v>0</v>
      </c>
      <c r="FE7" s="92"/>
      <c r="FF7" s="57" t="s">
        <v>163</v>
      </c>
      <c r="FG7" s="93">
        <f>1-(FG6/15)</f>
        <v>0.8</v>
      </c>
      <c r="FH7" s="93">
        <f>1-(FH6/15)</f>
        <v>0.8</v>
      </c>
      <c r="FI7" s="93">
        <f>1-(FI6/15)</f>
        <v>0.8</v>
      </c>
      <c r="FJ7" s="93">
        <f>1-(FJ6/15)</f>
        <v>0.8</v>
      </c>
      <c r="FK7" s="94">
        <f>1-(FK6/15)</f>
        <v>0.8666666666666667</v>
      </c>
    </row>
    <row r="8" spans="1:168" s="141" customFormat="1" ht="22.5" customHeight="1" x14ac:dyDescent="0.25">
      <c r="A8" s="107"/>
      <c r="B8" s="108" t="s">
        <v>164</v>
      </c>
      <c r="C8" s="109">
        <f t="shared" ref="C8:V8" si="29">SUM(C13:C27)</f>
        <v>265</v>
      </c>
      <c r="D8" s="109">
        <f t="shared" si="29"/>
        <v>875</v>
      </c>
      <c r="E8" s="260">
        <f t="shared" ref="E8:F8" si="30">SUM(E13:E27)</f>
        <v>72</v>
      </c>
      <c r="F8" s="261">
        <f t="shared" si="30"/>
        <v>1.5389974267266535</v>
      </c>
      <c r="G8" s="109">
        <f t="shared" si="29"/>
        <v>122</v>
      </c>
      <c r="H8" s="109">
        <f t="shared" si="29"/>
        <v>551</v>
      </c>
      <c r="I8" s="109">
        <f t="shared" si="29"/>
        <v>53</v>
      </c>
      <c r="J8" s="110">
        <f t="shared" si="29"/>
        <v>6.5755050505050505</v>
      </c>
      <c r="K8" s="109">
        <f t="shared" si="29"/>
        <v>23</v>
      </c>
      <c r="L8" s="110">
        <f t="shared" si="29"/>
        <v>7.6666666666666661</v>
      </c>
      <c r="M8" s="109">
        <f t="shared" si="29"/>
        <v>57</v>
      </c>
      <c r="N8" s="110">
        <f t="shared" si="29"/>
        <v>7.1016233766233761</v>
      </c>
      <c r="O8" s="109">
        <f t="shared" si="29"/>
        <v>24</v>
      </c>
      <c r="P8" s="110">
        <f t="shared" si="29"/>
        <v>8</v>
      </c>
      <c r="Q8" s="109">
        <f t="shared" si="29"/>
        <v>4</v>
      </c>
      <c r="R8" s="110">
        <f t="shared" si="29"/>
        <v>0.43333333333333335</v>
      </c>
      <c r="S8" s="109">
        <f t="shared" si="29"/>
        <v>52</v>
      </c>
      <c r="T8" s="110">
        <f t="shared" si="29"/>
        <v>6.7039321789321784</v>
      </c>
      <c r="U8" s="111">
        <f t="shared" si="29"/>
        <v>9</v>
      </c>
      <c r="V8" s="112">
        <f t="shared" si="29"/>
        <v>1.425</v>
      </c>
      <c r="W8" s="113"/>
      <c r="X8" s="114">
        <v>1</v>
      </c>
      <c r="Y8" s="115">
        <f>+COUNTIF(Y$13:Y$27,$X$8)/Y5</f>
        <v>0</v>
      </c>
      <c r="Z8" s="115">
        <f>+COUNTIF(Z$13:Z$27,$X$8)/$Z$5</f>
        <v>1</v>
      </c>
      <c r="AA8" s="115">
        <f>+COUNTIFS($Z$13:$Z$27,$X$8,AA$13:AA$27,$X8)/$AA$5</f>
        <v>1</v>
      </c>
      <c r="AB8" s="115">
        <f>+COUNTIFS($Z$13:$Z$27,$X$8,AB$13:AB$27,$X8)/$AB$5</f>
        <v>0.8571428571428571</v>
      </c>
      <c r="AC8" s="115">
        <f>+COUNTIF(AC$13:AC$27,$X$8)/$AC$5</f>
        <v>1</v>
      </c>
      <c r="AD8" s="115">
        <f>+COUNTIFS($AC$13:$AC$27,$X$8,AD$13:AD$27,$X8)/$AD$5</f>
        <v>1</v>
      </c>
      <c r="AE8" s="115">
        <f>+COUNTIFS($AC$13:$AC$27,$X$8,AE$13:AE$27,$X8)/$AE$5</f>
        <v>0.91666666666666663</v>
      </c>
      <c r="AF8" s="115">
        <f>+COUNTIF(AF$13:AF$27,$X$8)/AF5</f>
        <v>1</v>
      </c>
      <c r="AG8" s="116">
        <f>+COUNTIF(AG$13:AG$27,$X$8)/AG5</f>
        <v>1</v>
      </c>
      <c r="AH8" s="117"/>
      <c r="AI8" s="118"/>
      <c r="AJ8" s="65" t="s">
        <v>164</v>
      </c>
      <c r="AK8" s="119">
        <f>SUM(AK13:AK27)</f>
        <v>29</v>
      </c>
      <c r="AL8" s="119">
        <f>SUM(AL13:AL27)</f>
        <v>7</v>
      </c>
      <c r="AM8" s="119">
        <f>SUM(AM13:AM27)</f>
        <v>209</v>
      </c>
      <c r="AN8" s="119" t="e">
        <f>SUM(AN13:AN27)</f>
        <v>#DIV/0!</v>
      </c>
      <c r="AO8" s="120" t="e">
        <f>SUM(AO13:AO27)</f>
        <v>#DIV/0!</v>
      </c>
      <c r="AP8" s="65">
        <v>1</v>
      </c>
      <c r="AQ8" s="120">
        <f>+COUNTIF(AQ$13:AQ$27,$AP8)/$AQ$5</f>
        <v>0.81818181818181823</v>
      </c>
      <c r="AR8" s="120">
        <f>+COUNTIF(AR$13:AR$27,$AP8)/AR$5</f>
        <v>0</v>
      </c>
      <c r="AS8" s="120">
        <f>+COUNTIF(AS$13:AS$27,$AP8)/AS$5</f>
        <v>0.9</v>
      </c>
      <c r="AT8" s="120">
        <f t="shared" ref="AT8:AW11" si="31">+COUNTIF(AT$13:AT$27,$AP8)/AT$5</f>
        <v>0</v>
      </c>
      <c r="AU8" s="120">
        <f t="shared" si="31"/>
        <v>1</v>
      </c>
      <c r="AV8" s="120">
        <f>SUM(AV13:AV27)</f>
        <v>5</v>
      </c>
      <c r="AW8" s="121">
        <f t="shared" si="31"/>
        <v>0</v>
      </c>
      <c r="AX8" s="117"/>
      <c r="AY8" s="113"/>
      <c r="AZ8" s="122" t="s">
        <v>164</v>
      </c>
      <c r="BA8" s="123">
        <f t="shared" ref="BA8:BF8" si="32">SUM(BA13:BA27)</f>
        <v>94</v>
      </c>
      <c r="BB8" s="123">
        <f t="shared" si="32"/>
        <v>23</v>
      </c>
      <c r="BC8" s="123">
        <f t="shared" si="32"/>
        <v>11</v>
      </c>
      <c r="BD8" s="123">
        <f t="shared" si="32"/>
        <v>67</v>
      </c>
      <c r="BE8" s="124" t="e">
        <f t="shared" si="32"/>
        <v>#DIV/0!</v>
      </c>
      <c r="BF8" s="115" t="e">
        <f t="shared" si="32"/>
        <v>#DIV/0!</v>
      </c>
      <c r="BG8" s="125">
        <v>1</v>
      </c>
      <c r="BH8" s="115">
        <f>+COUNTIF(BH$13:BH$27,$BG8)/BH$5</f>
        <v>1</v>
      </c>
      <c r="BI8" s="115">
        <f t="shared" ref="BI8:BP11" si="33">+COUNTIF(BI$13:BI$27,$BG8)/BI$5</f>
        <v>0</v>
      </c>
      <c r="BJ8" s="115">
        <f t="shared" si="33"/>
        <v>0</v>
      </c>
      <c r="BK8" s="115">
        <f t="shared" si="33"/>
        <v>1</v>
      </c>
      <c r="BL8" s="115">
        <f t="shared" si="33"/>
        <v>0</v>
      </c>
      <c r="BM8" s="115">
        <f t="shared" si="33"/>
        <v>1</v>
      </c>
      <c r="BN8" s="123">
        <f>SUM(BN13:BN27)</f>
        <v>7.4753968253968255</v>
      </c>
      <c r="BO8" s="115">
        <f t="shared" si="33"/>
        <v>0</v>
      </c>
      <c r="BP8" s="116">
        <f t="shared" si="33"/>
        <v>0.8</v>
      </c>
      <c r="BQ8" s="113"/>
      <c r="BR8" s="113"/>
      <c r="BS8" s="126" t="s">
        <v>164</v>
      </c>
      <c r="BT8" s="119">
        <f>SUM(BT13:BT27)</f>
        <v>27</v>
      </c>
      <c r="BU8" s="272">
        <f t="shared" ref="BU8" si="34">SUM(BU13:BU27)</f>
        <v>0</v>
      </c>
      <c r="BV8" s="119">
        <f>SUM(BV13:BV27)</f>
        <v>0</v>
      </c>
      <c r="BW8" s="119">
        <f>SUM(BW13:BW27)</f>
        <v>0</v>
      </c>
      <c r="BX8" s="119" t="e">
        <f>SUM(BX13:BX27)</f>
        <v>#DIV/0!</v>
      </c>
      <c r="BY8" s="120" t="e">
        <f>SUM(BY13:BY27)</f>
        <v>#DIV/0!</v>
      </c>
      <c r="BZ8" s="65">
        <v>1</v>
      </c>
      <c r="CA8" s="120">
        <f t="shared" ref="CA8:CF11" si="35">+COUNTIF(CA$13:CA$27,$BZ8)/CA$5</f>
        <v>1</v>
      </c>
      <c r="CB8" s="120" t="e">
        <f t="shared" si="35"/>
        <v>#DIV/0!</v>
      </c>
      <c r="CC8" s="120" t="e">
        <f t="shared" si="35"/>
        <v>#DIV/0!</v>
      </c>
      <c r="CD8" s="120" t="e">
        <f t="shared" si="35"/>
        <v>#DIV/0!</v>
      </c>
      <c r="CE8" s="120" t="e">
        <f t="shared" si="35"/>
        <v>#DIV/0!</v>
      </c>
      <c r="CF8" s="121" t="e">
        <f t="shared" si="35"/>
        <v>#DIV/0!</v>
      </c>
      <c r="CG8" s="117"/>
      <c r="CH8" s="117"/>
      <c r="CI8" s="126">
        <v>1</v>
      </c>
      <c r="CJ8" s="120">
        <f>+COUNTIF(CJ$13:CJ$27,$CI8)/CJ$5</f>
        <v>0</v>
      </c>
      <c r="CK8" s="120">
        <f>+COUNTIF(CK$13:CK$27,$CI8)/CK$5</f>
        <v>0</v>
      </c>
      <c r="CL8" s="119" t="s">
        <v>164</v>
      </c>
      <c r="CM8" s="119">
        <f>SUM(CM13:CM27)</f>
        <v>21400</v>
      </c>
      <c r="CN8" s="119">
        <f>SUM(CN13:CN27)</f>
        <v>6200</v>
      </c>
      <c r="CO8" s="119">
        <f>SUM(CO13:CO27)</f>
        <v>144</v>
      </c>
      <c r="CP8" s="121">
        <f>SUM(CP13:CP27)</f>
        <v>3.0193815987933634</v>
      </c>
      <c r="CQ8" s="113"/>
      <c r="CR8" s="113"/>
      <c r="CS8" s="127">
        <v>1</v>
      </c>
      <c r="CT8" s="120">
        <f>+COUNTIF(CT$13:CT$27,$CS8)/CT$5</f>
        <v>0</v>
      </c>
      <c r="CU8" s="120">
        <f t="shared" ref="CU8:DC10" si="36">+COUNTIF(CU$13:CU$27,$CS8)/CU$5</f>
        <v>0.88888888888888884</v>
      </c>
      <c r="CV8" s="120">
        <f t="shared" si="36"/>
        <v>0</v>
      </c>
      <c r="CW8" s="120">
        <f t="shared" si="36"/>
        <v>0</v>
      </c>
      <c r="CX8" s="120">
        <f t="shared" si="36"/>
        <v>0</v>
      </c>
      <c r="CY8" s="120">
        <f t="shared" si="36"/>
        <v>0</v>
      </c>
      <c r="CZ8" s="120">
        <f t="shared" si="36"/>
        <v>0.66666666666666663</v>
      </c>
      <c r="DA8" s="120">
        <f t="shared" si="36"/>
        <v>0.5</v>
      </c>
      <c r="DB8" s="120">
        <f t="shared" si="36"/>
        <v>0</v>
      </c>
      <c r="DC8" s="121">
        <f t="shared" si="36"/>
        <v>0</v>
      </c>
      <c r="DD8" s="117"/>
      <c r="DE8" s="128"/>
      <c r="DF8" s="129">
        <v>1</v>
      </c>
      <c r="DG8" s="130">
        <f>+COUNTIF(DG$13:DG$27,$DF8)/DG$5</f>
        <v>0.33333333333333331</v>
      </c>
      <c r="DH8" s="130">
        <f>+COUNTIF(DH$13:DH$27,$DF8)/DH$5</f>
        <v>1</v>
      </c>
      <c r="DI8" s="130" t="e">
        <f>+COUNTIF(DI$13:DI$27,$DF8)/DI$5</f>
        <v>#DIV/0!</v>
      </c>
      <c r="DJ8" s="130" t="e">
        <f>+COUNTIF(DJ$13:DJ$27,$DF8)/DJ$5</f>
        <v>#DIV/0!</v>
      </c>
      <c r="DK8" s="130"/>
      <c r="DL8" s="131" t="s">
        <v>164</v>
      </c>
      <c r="DM8" s="132">
        <f>SUM(DM13:DM27)</f>
        <v>14</v>
      </c>
      <c r="DN8" s="132"/>
      <c r="DO8" s="132">
        <f>SUM(DO13:DO27)</f>
        <v>0</v>
      </c>
      <c r="DP8" s="132">
        <f>SUM(DP13:DP27)</f>
        <v>0</v>
      </c>
      <c r="DQ8" s="353"/>
      <c r="DR8" s="133">
        <f>SUM(DR13:DR27)</f>
        <v>0</v>
      </c>
      <c r="DS8" s="134"/>
      <c r="DT8" s="113"/>
      <c r="DU8" s="135" t="s">
        <v>164</v>
      </c>
      <c r="DV8" s="136">
        <f>SUM(DV13:DV27)</f>
        <v>22</v>
      </c>
      <c r="DW8" s="136">
        <f>SUM(DW13:DW27)</f>
        <v>36</v>
      </c>
      <c r="DX8" s="136">
        <f>SUM(DX13:DX27)</f>
        <v>6</v>
      </c>
      <c r="DY8" s="113"/>
      <c r="DZ8" s="113"/>
      <c r="EA8" s="127" t="s">
        <v>164</v>
      </c>
      <c r="EB8" s="137">
        <f>SUM(EB13:EB27)</f>
        <v>1025.95</v>
      </c>
      <c r="EC8" s="137">
        <f t="shared" ref="EC8:EO8" si="37">SUM(EC13:EC27)</f>
        <v>1051.3499999999999</v>
      </c>
      <c r="ED8" s="138" t="e">
        <f>SUM(ED13:ED27)</f>
        <v>#DIV/0!</v>
      </c>
      <c r="EE8" s="137">
        <f t="shared" si="37"/>
        <v>1767.4</v>
      </c>
      <c r="EF8" s="138" t="e">
        <f>SUM(EF13:EF27)</f>
        <v>#DIV/0!</v>
      </c>
      <c r="EG8" s="137">
        <f>SUM(EG13:EG27)</f>
        <v>40.470749999999995</v>
      </c>
      <c r="EH8" s="137">
        <f t="shared" si="37"/>
        <v>0</v>
      </c>
      <c r="EI8" s="137">
        <f t="shared" si="37"/>
        <v>0</v>
      </c>
      <c r="EJ8" s="137">
        <f t="shared" si="37"/>
        <v>0</v>
      </c>
      <c r="EK8" s="137">
        <f t="shared" si="37"/>
        <v>0</v>
      </c>
      <c r="EL8" s="137">
        <f t="shared" si="37"/>
        <v>0</v>
      </c>
      <c r="EM8" s="137">
        <f t="shared" si="37"/>
        <v>0</v>
      </c>
      <c r="EN8" s="137">
        <f t="shared" si="37"/>
        <v>0</v>
      </c>
      <c r="EO8" s="137">
        <f t="shared" si="37"/>
        <v>0</v>
      </c>
      <c r="EP8" s="139">
        <f>SUM(EP13:EP27)</f>
        <v>126.97514999999999</v>
      </c>
      <c r="EQ8" s="284">
        <f>SUM(EQ13:EQ27)</f>
        <v>0</v>
      </c>
      <c r="ER8" s="284" t="e">
        <f>SUM(ER13:ER27)</f>
        <v>#DIV/0!</v>
      </c>
      <c r="ES8" s="134"/>
      <c r="ET8" s="113"/>
      <c r="EU8" s="140" t="s">
        <v>164</v>
      </c>
      <c r="EV8" s="136">
        <f>SUM(EV13:EV27)</f>
        <v>0</v>
      </c>
      <c r="EW8" s="136">
        <f t="shared" ref="EW8:FD8" si="38">SUM(EW13:EW27)</f>
        <v>0</v>
      </c>
      <c r="EX8" s="136">
        <f t="shared" si="38"/>
        <v>0</v>
      </c>
      <c r="EY8" s="136">
        <f t="shared" si="38"/>
        <v>0</v>
      </c>
      <c r="EZ8" s="136">
        <f t="shared" si="38"/>
        <v>0</v>
      </c>
      <c r="FA8" s="136">
        <f t="shared" si="38"/>
        <v>0</v>
      </c>
      <c r="FB8" s="136" t="e">
        <f t="shared" si="38"/>
        <v>#DIV/0!</v>
      </c>
      <c r="FC8" s="136">
        <f t="shared" si="38"/>
        <v>0</v>
      </c>
      <c r="FD8" s="136">
        <f t="shared" si="38"/>
        <v>0</v>
      </c>
      <c r="FE8" s="113"/>
      <c r="FF8" s="122" t="s">
        <v>164</v>
      </c>
      <c r="FG8" s="123">
        <f>SUM(FG13:FG27)</f>
        <v>5</v>
      </c>
      <c r="FH8" s="123">
        <f>SUM(FH13:FH27)</f>
        <v>36</v>
      </c>
      <c r="FI8" s="123">
        <f>SUM(FI13:FI27)</f>
        <v>31</v>
      </c>
      <c r="FJ8" s="123">
        <f>SUM(FJ13:FJ27)</f>
        <v>0</v>
      </c>
      <c r="FK8" s="123">
        <f>SUM(FK13:FK27)</f>
        <v>26</v>
      </c>
    </row>
    <row r="9" spans="1:168" s="141" customFormat="1" ht="22.5" customHeight="1" x14ac:dyDescent="0.25">
      <c r="A9" s="113"/>
      <c r="B9" s="114" t="s">
        <v>165</v>
      </c>
      <c r="C9" s="123">
        <f t="shared" ref="C9:V9" si="39">MIN(C13:C27)</f>
        <v>9</v>
      </c>
      <c r="D9" s="123">
        <f t="shared" si="39"/>
        <v>12</v>
      </c>
      <c r="E9" s="262">
        <f t="shared" si="39"/>
        <v>0</v>
      </c>
      <c r="F9" s="263">
        <f t="shared" si="39"/>
        <v>0</v>
      </c>
      <c r="G9" s="123">
        <f t="shared" si="39"/>
        <v>5</v>
      </c>
      <c r="H9" s="123">
        <f t="shared" si="39"/>
        <v>27</v>
      </c>
      <c r="I9" s="123">
        <f t="shared" si="39"/>
        <v>0</v>
      </c>
      <c r="J9" s="115">
        <f t="shared" si="39"/>
        <v>0</v>
      </c>
      <c r="K9" s="123">
        <f t="shared" si="39"/>
        <v>0</v>
      </c>
      <c r="L9" s="115">
        <f t="shared" si="39"/>
        <v>0</v>
      </c>
      <c r="M9" s="123">
        <f t="shared" si="39"/>
        <v>0</v>
      </c>
      <c r="N9" s="115">
        <f t="shared" si="39"/>
        <v>0</v>
      </c>
      <c r="O9" s="123">
        <f t="shared" si="39"/>
        <v>0</v>
      </c>
      <c r="P9" s="115">
        <f t="shared" si="39"/>
        <v>0</v>
      </c>
      <c r="Q9" s="123">
        <f t="shared" si="39"/>
        <v>0</v>
      </c>
      <c r="R9" s="115">
        <f t="shared" si="39"/>
        <v>0</v>
      </c>
      <c r="S9" s="123">
        <f t="shared" si="39"/>
        <v>0</v>
      </c>
      <c r="T9" s="115">
        <f t="shared" si="39"/>
        <v>0</v>
      </c>
      <c r="U9" s="124">
        <f t="shared" si="39"/>
        <v>0</v>
      </c>
      <c r="V9" s="116">
        <f t="shared" si="39"/>
        <v>0</v>
      </c>
      <c r="W9" s="113"/>
      <c r="X9" s="114">
        <v>2</v>
      </c>
      <c r="Y9" s="115">
        <f>+COUNTIF(Y$13:Y$27,$X$9)/Y5</f>
        <v>1</v>
      </c>
      <c r="Z9" s="115">
        <f>+COUNTIF(Z$13:Z$27,$X$9)/$Z$5</f>
        <v>0</v>
      </c>
      <c r="AA9" s="115">
        <f>+COUNTIFS($Z$13:$Z$27,$X$8,AA$13:AA$27,$X9)/$AA$5</f>
        <v>0</v>
      </c>
      <c r="AB9" s="115">
        <f>+COUNTIFS($Z$13:$Z$27,$X$8,AB$13:AB$27,$X9)/$AB$5</f>
        <v>0.14285714285714285</v>
      </c>
      <c r="AC9" s="115">
        <f>+COUNTIF(AC$13:AC$27,$X$9)/$AC$5</f>
        <v>0</v>
      </c>
      <c r="AD9" s="115">
        <f>+COUNTIFS($AC$13:$AC$27,$X$8,AD$13:AD$27,$X9)/$AD$5</f>
        <v>0</v>
      </c>
      <c r="AE9" s="115">
        <f>+COUNTIFS($AC$13:$AC$27,$X$8,AE$13:AE$27,$X9)/$AE$5</f>
        <v>8.3333333333333329E-2</v>
      </c>
      <c r="AF9" s="115">
        <f>+COUNTIF(AF$13:AF$27,$X$9)/15</f>
        <v>0</v>
      </c>
      <c r="AG9" s="116">
        <f>+COUNTIF(AG$13:AG$27,$X$9)/15</f>
        <v>0</v>
      </c>
      <c r="AH9" s="117"/>
      <c r="AI9" s="118"/>
      <c r="AJ9" s="65" t="s">
        <v>165</v>
      </c>
      <c r="AK9" s="119">
        <f>MIN(AK13:AK27)</f>
        <v>2</v>
      </c>
      <c r="AL9" s="119">
        <f>MIN(AL13:AL27)</f>
        <v>0</v>
      </c>
      <c r="AM9" s="119">
        <f>MIN(AM13:AM27)</f>
        <v>24</v>
      </c>
      <c r="AN9" s="142" t="e">
        <f>MIN(AN13:AN27)</f>
        <v>#DIV/0!</v>
      </c>
      <c r="AO9" s="120" t="e">
        <f>MIN(AO13:AO27)</f>
        <v>#DIV/0!</v>
      </c>
      <c r="AP9" s="65">
        <v>2</v>
      </c>
      <c r="AQ9" s="120">
        <f>+COUNTIF(AQ$13:AQ$27,$AP9)/$AQ$5</f>
        <v>0</v>
      </c>
      <c r="AR9" s="120">
        <f>+COUNTIF(AR$13:AR$27,$AP9)/$AR$5</f>
        <v>0.18181818181818182</v>
      </c>
      <c r="AS9" s="120">
        <f>+COUNTIF(AS$13:AS$27,$AP9)/AS$5</f>
        <v>0.1</v>
      </c>
      <c r="AT9" s="120">
        <f t="shared" si="31"/>
        <v>0.18181818181818182</v>
      </c>
      <c r="AU9" s="120">
        <f t="shared" si="31"/>
        <v>0</v>
      </c>
      <c r="AV9" s="120">
        <f>MIN(AV13:AV27)</f>
        <v>0.5</v>
      </c>
      <c r="AW9" s="121">
        <f t="shared" si="31"/>
        <v>0</v>
      </c>
      <c r="AX9" s="117"/>
      <c r="AY9" s="113"/>
      <c r="AZ9" s="122" t="s">
        <v>165</v>
      </c>
      <c r="BA9" s="123">
        <f t="shared" ref="BA9:BF9" si="40">MIN(BA13:BA27)</f>
        <v>4</v>
      </c>
      <c r="BB9" s="123">
        <f t="shared" si="40"/>
        <v>0</v>
      </c>
      <c r="BC9" s="123">
        <f t="shared" si="40"/>
        <v>0</v>
      </c>
      <c r="BD9" s="123">
        <f t="shared" si="40"/>
        <v>5</v>
      </c>
      <c r="BE9" s="124" t="e">
        <f t="shared" si="40"/>
        <v>#DIV/0!</v>
      </c>
      <c r="BF9" s="115" t="e">
        <f t="shared" si="40"/>
        <v>#DIV/0!</v>
      </c>
      <c r="BG9" s="125">
        <v>2</v>
      </c>
      <c r="BH9" s="115">
        <f>+COUNTIF(BH$13:BH$27,$BG9)/BH$5</f>
        <v>0</v>
      </c>
      <c r="BI9" s="115">
        <f t="shared" si="33"/>
        <v>0</v>
      </c>
      <c r="BJ9" s="115">
        <f t="shared" si="33"/>
        <v>0</v>
      </c>
      <c r="BK9" s="115">
        <f t="shared" si="33"/>
        <v>0</v>
      </c>
      <c r="BL9" s="115">
        <f t="shared" si="33"/>
        <v>0</v>
      </c>
      <c r="BM9" s="115">
        <f t="shared" si="33"/>
        <v>0</v>
      </c>
      <c r="BN9" s="123">
        <f>MIN(BN13:BN27)</f>
        <v>0.5</v>
      </c>
      <c r="BO9" s="115">
        <f t="shared" si="33"/>
        <v>0</v>
      </c>
      <c r="BP9" s="116">
        <f t="shared" si="33"/>
        <v>0.2</v>
      </c>
      <c r="BQ9" s="113" t="s">
        <v>166</v>
      </c>
      <c r="BR9" s="113"/>
      <c r="BS9" s="126" t="s">
        <v>165</v>
      </c>
      <c r="BT9" s="119">
        <f>MIN(BT13:BT27)</f>
        <v>0</v>
      </c>
      <c r="BU9" s="272">
        <f t="shared" ref="BU9" si="41">MIN(BU13:BU27)</f>
        <v>0</v>
      </c>
      <c r="BV9" s="119">
        <f>MIN(BV13:BV27)</f>
        <v>0</v>
      </c>
      <c r="BW9" s="119">
        <f>MIN(BW13:BW27)</f>
        <v>0</v>
      </c>
      <c r="BX9" s="119" t="e">
        <f>MIN(BX13:BX27)</f>
        <v>#DIV/0!</v>
      </c>
      <c r="BY9" s="120" t="e">
        <f>MIN(BY13:BY27)</f>
        <v>#DIV/0!</v>
      </c>
      <c r="BZ9" s="65">
        <v>2</v>
      </c>
      <c r="CA9" s="120">
        <f t="shared" si="35"/>
        <v>0</v>
      </c>
      <c r="CB9" s="120" t="e">
        <f t="shared" si="35"/>
        <v>#DIV/0!</v>
      </c>
      <c r="CC9" s="120" t="e">
        <f t="shared" si="35"/>
        <v>#DIV/0!</v>
      </c>
      <c r="CD9" s="120" t="e">
        <f t="shared" si="35"/>
        <v>#DIV/0!</v>
      </c>
      <c r="CE9" s="120" t="e">
        <f t="shared" si="35"/>
        <v>#DIV/0!</v>
      </c>
      <c r="CF9" s="121" t="e">
        <f t="shared" si="35"/>
        <v>#DIV/0!</v>
      </c>
      <c r="CG9" s="117"/>
      <c r="CH9" s="117"/>
      <c r="CI9" s="126">
        <v>2</v>
      </c>
      <c r="CJ9" s="120">
        <f t="shared" ref="CJ9:CK11" si="42">+COUNTIF(CJ$13:CJ$27,$CI9)/CJ$5</f>
        <v>7.1428571428571425E-2</v>
      </c>
      <c r="CK9" s="120">
        <f t="shared" si="42"/>
        <v>1</v>
      </c>
      <c r="CL9" s="119" t="s">
        <v>165</v>
      </c>
      <c r="CM9" s="119">
        <f>MIN(CM13:CM27)</f>
        <v>1000</v>
      </c>
      <c r="CN9" s="119">
        <f>MIN(CN13:CN27)</f>
        <v>200</v>
      </c>
      <c r="CO9" s="119">
        <f>MIN(CO13:CO27)</f>
        <v>0</v>
      </c>
      <c r="CP9" s="121">
        <f>MIN(CP13:CP27)</f>
        <v>0</v>
      </c>
      <c r="CQ9" s="113"/>
      <c r="CR9" s="113"/>
      <c r="CS9" s="127">
        <v>2</v>
      </c>
      <c r="CT9" s="120">
        <f>+COUNTIF(CT$13:CT$27,$CS9)/CT$5</f>
        <v>0</v>
      </c>
      <c r="CU9" s="120">
        <f t="shared" si="36"/>
        <v>0</v>
      </c>
      <c r="CV9" s="120">
        <f t="shared" si="36"/>
        <v>0</v>
      </c>
      <c r="CW9" s="120">
        <f t="shared" si="36"/>
        <v>0</v>
      </c>
      <c r="CX9" s="120">
        <f t="shared" si="36"/>
        <v>0</v>
      </c>
      <c r="CY9" s="120">
        <f t="shared" si="36"/>
        <v>0</v>
      </c>
      <c r="CZ9" s="120">
        <f t="shared" si="36"/>
        <v>0</v>
      </c>
      <c r="DA9" s="120">
        <f t="shared" si="36"/>
        <v>0</v>
      </c>
      <c r="DB9" s="120">
        <f t="shared" si="36"/>
        <v>0</v>
      </c>
      <c r="DC9" s="121">
        <f t="shared" si="36"/>
        <v>0</v>
      </c>
      <c r="DD9" s="117"/>
      <c r="DE9" s="128"/>
      <c r="DF9" s="129">
        <v>2</v>
      </c>
      <c r="DG9" s="130">
        <f t="shared" ref="DG9:DH11" si="43">+COUNTIF(DG$13:DG$27,$DF9)/DG$5</f>
        <v>0</v>
      </c>
      <c r="DH9" s="130">
        <f t="shared" si="43"/>
        <v>0</v>
      </c>
      <c r="DI9" s="130">
        <f>+COUNTIF(DI$13:DI$27,$DF$9)/15</f>
        <v>0</v>
      </c>
      <c r="DJ9" s="130">
        <f>+COUNTIF(DJ$13:DJ$27,$DF$9)/15</f>
        <v>0</v>
      </c>
      <c r="DK9" s="130"/>
      <c r="DL9" s="131" t="s">
        <v>165</v>
      </c>
      <c r="DM9" s="132">
        <f>MIN(DM13:DM27)</f>
        <v>14</v>
      </c>
      <c r="DN9" s="132"/>
      <c r="DO9" s="132">
        <f>MIN(DO13:DO27)</f>
        <v>0</v>
      </c>
      <c r="DP9" s="132">
        <f>MIN(DP13:DP27)</f>
        <v>0</v>
      </c>
      <c r="DQ9" s="353"/>
      <c r="DR9" s="133">
        <f>MIN(DR13:DR27)</f>
        <v>0</v>
      </c>
      <c r="DS9" s="134"/>
      <c r="DT9" s="113"/>
      <c r="DU9" s="143" t="s">
        <v>165</v>
      </c>
      <c r="DV9" s="119">
        <f>MIN(DV13:DV27)</f>
        <v>1</v>
      </c>
      <c r="DW9" s="119">
        <f>MIN(DW13:DW27)</f>
        <v>0</v>
      </c>
      <c r="DX9" s="119">
        <f>MIN(DX13:DX27)</f>
        <v>0</v>
      </c>
      <c r="DY9" s="113"/>
      <c r="DZ9" s="113"/>
      <c r="EA9" s="127" t="s">
        <v>165</v>
      </c>
      <c r="EB9" s="137">
        <f>MIN(EB13:EB27)</f>
        <v>13.95</v>
      </c>
      <c r="EC9" s="137">
        <f t="shared" ref="EC9:EO9" si="44">MIN(EC13:EC27)</f>
        <v>13.95</v>
      </c>
      <c r="ED9" s="138" t="e">
        <f>MIN(ED13:ED27)</f>
        <v>#DIV/0!</v>
      </c>
      <c r="EE9" s="137">
        <f t="shared" si="44"/>
        <v>25.4</v>
      </c>
      <c r="EF9" s="138" t="e">
        <f>MIN(EF13:EF27)</f>
        <v>#DIV/0!</v>
      </c>
      <c r="EG9" s="137">
        <f>MIN(EG13:EG27)</f>
        <v>6.0960000000000001</v>
      </c>
      <c r="EH9" s="137">
        <f t="shared" si="44"/>
        <v>0</v>
      </c>
      <c r="EI9" s="137">
        <f t="shared" si="44"/>
        <v>0</v>
      </c>
      <c r="EJ9" s="137">
        <f t="shared" si="44"/>
        <v>0</v>
      </c>
      <c r="EK9" s="137">
        <f t="shared" si="44"/>
        <v>0</v>
      </c>
      <c r="EL9" s="137">
        <f t="shared" si="44"/>
        <v>0</v>
      </c>
      <c r="EM9" s="137">
        <f t="shared" si="44"/>
        <v>0</v>
      </c>
      <c r="EN9" s="137">
        <f t="shared" si="44"/>
        <v>0</v>
      </c>
      <c r="EO9" s="137">
        <f t="shared" si="44"/>
        <v>0</v>
      </c>
      <c r="EP9" s="139">
        <f>MIN(EP13:EP27)</f>
        <v>3.76</v>
      </c>
      <c r="EQ9" s="284">
        <f>MIN(EQ13:EQ27)</f>
        <v>0</v>
      </c>
      <c r="ER9" s="284" t="e">
        <f>MIN(ER13:ER27)</f>
        <v>#DIV/0!</v>
      </c>
      <c r="ES9" s="134"/>
      <c r="ET9" s="113" t="s">
        <v>166</v>
      </c>
      <c r="EU9" s="127" t="s">
        <v>165</v>
      </c>
      <c r="EV9" s="119">
        <f>MIN(EV13:EV27)</f>
        <v>0</v>
      </c>
      <c r="EW9" s="119">
        <f t="shared" ref="EW9:FD9" si="45">MIN(EW13:EW27)</f>
        <v>0</v>
      </c>
      <c r="EX9" s="119">
        <f t="shared" si="45"/>
        <v>0</v>
      </c>
      <c r="EY9" s="119">
        <f t="shared" si="45"/>
        <v>0</v>
      </c>
      <c r="EZ9" s="119">
        <f t="shared" si="45"/>
        <v>0</v>
      </c>
      <c r="FA9" s="119">
        <f t="shared" si="45"/>
        <v>0</v>
      </c>
      <c r="FB9" s="119" t="e">
        <f t="shared" si="45"/>
        <v>#DIV/0!</v>
      </c>
      <c r="FC9" s="119">
        <f t="shared" si="45"/>
        <v>0</v>
      </c>
      <c r="FD9" s="119">
        <f t="shared" si="45"/>
        <v>0</v>
      </c>
      <c r="FE9" s="113"/>
      <c r="FF9" s="122" t="s">
        <v>165</v>
      </c>
      <c r="FG9" s="123">
        <f>MIN(FG13:FG27)</f>
        <v>0</v>
      </c>
      <c r="FH9" s="123">
        <f>MIN(FH13:FH27)</f>
        <v>0</v>
      </c>
      <c r="FI9" s="123">
        <f>MIN(FI13:FI27)</f>
        <v>0</v>
      </c>
      <c r="FJ9" s="123">
        <f>MIN(FJ13:FJ27)</f>
        <v>0</v>
      </c>
      <c r="FK9" s="123">
        <f>MIN(FK13:FK27)</f>
        <v>0</v>
      </c>
    </row>
    <row r="10" spans="1:168" s="141" customFormat="1" ht="22.5" customHeight="1" x14ac:dyDescent="0.25">
      <c r="A10" s="113"/>
      <c r="B10" s="114" t="s">
        <v>167</v>
      </c>
      <c r="C10" s="124">
        <f>AVERAGE(C13:C27)</f>
        <v>17.666666666666668</v>
      </c>
      <c r="D10" s="124">
        <f>AVERAGE(D13:D27)</f>
        <v>58.333333333333336</v>
      </c>
      <c r="E10" s="264">
        <f>AVERAGE(E13:E27)</f>
        <v>5.5384615384615383</v>
      </c>
      <c r="F10" s="263">
        <f>AVERAGE(F13:F27)</f>
        <v>0.10992838762333239</v>
      </c>
      <c r="G10" s="124">
        <f t="shared" ref="G10:V10" si="46">AVERAGE(G13:G27)</f>
        <v>8.1333333333333329</v>
      </c>
      <c r="H10" s="124">
        <f t="shared" si="46"/>
        <v>36.733333333333334</v>
      </c>
      <c r="I10" s="124">
        <f t="shared" si="46"/>
        <v>3.5333333333333332</v>
      </c>
      <c r="J10" s="115">
        <f>AVERAGE(J13:J27)</f>
        <v>0.43836700336700335</v>
      </c>
      <c r="K10" s="144">
        <f>AVERAGE(K13:K27)</f>
        <v>1.5333333333333334</v>
      </c>
      <c r="L10" s="115">
        <f>AVERAGE(L13:L27)</f>
        <v>0.51111111111111107</v>
      </c>
      <c r="M10" s="124">
        <f t="shared" si="46"/>
        <v>3.8</v>
      </c>
      <c r="N10" s="115">
        <f t="shared" si="46"/>
        <v>0.47344155844155839</v>
      </c>
      <c r="O10" s="144">
        <f>AVERAGE(O13:O27)</f>
        <v>1.6</v>
      </c>
      <c r="P10" s="115">
        <f t="shared" si="46"/>
        <v>0.53333333333333333</v>
      </c>
      <c r="Q10" s="123">
        <f t="shared" si="46"/>
        <v>0.26666666666666666</v>
      </c>
      <c r="R10" s="115">
        <f>AVERAGE(R13:R27)</f>
        <v>2.8888888888888891E-2</v>
      </c>
      <c r="S10" s="124">
        <f t="shared" si="46"/>
        <v>3.4666666666666668</v>
      </c>
      <c r="T10" s="115">
        <f t="shared" si="46"/>
        <v>0.4469288119288119</v>
      </c>
      <c r="U10" s="124">
        <f>AVERAGE(U13:U27)</f>
        <v>0.6</v>
      </c>
      <c r="V10" s="116">
        <f t="shared" si="46"/>
        <v>9.5000000000000001E-2</v>
      </c>
      <c r="W10" s="113"/>
      <c r="X10" s="114">
        <v>3</v>
      </c>
      <c r="Y10" s="123"/>
      <c r="Z10" s="115"/>
      <c r="AA10" s="115">
        <f>+COUNTIFS($Z$13:$Z$27,$X$8,AA$13:AA$27,$X10)/$AA$5</f>
        <v>0</v>
      </c>
      <c r="AB10" s="115">
        <f>+COUNTIFS($Z$13:$Z$27,$X$8,AB$13:AB$27,$X10)/$AA$8</f>
        <v>0</v>
      </c>
      <c r="AC10" s="115">
        <f>+COUNTIF(AC$13:AC$27,$X$10)/15</f>
        <v>0</v>
      </c>
      <c r="AD10" s="115">
        <f>+COUNTIFS($AC$13:$AC$27,$X$8,AD$13:AD$27,$X10)/$AD$5</f>
        <v>0</v>
      </c>
      <c r="AE10" s="115">
        <f>+COUNTIFS($AC$13:$AC$27,$X$8,AE$13:AE$27,$X10)/$AE$5</f>
        <v>0</v>
      </c>
      <c r="AF10" s="123"/>
      <c r="AG10" s="145"/>
      <c r="AH10" s="113"/>
      <c r="AI10" s="118"/>
      <c r="AJ10" s="65" t="s">
        <v>167</v>
      </c>
      <c r="AK10" s="119">
        <f>AVERAGE(AK13:AK27)</f>
        <v>2.6363636363636362</v>
      </c>
      <c r="AL10" s="119">
        <f>AVERAGE(AL13:AL27)</f>
        <v>1</v>
      </c>
      <c r="AM10" s="119">
        <f>AVERAGE(AM13:AM27)</f>
        <v>41.8</v>
      </c>
      <c r="AN10" s="142" t="e">
        <f>AVERAGE(AN13:AN27)</f>
        <v>#DIV/0!</v>
      </c>
      <c r="AO10" s="120" t="e">
        <f>AVERAGE(AO13:AO27)</f>
        <v>#DIV/0!</v>
      </c>
      <c r="AP10" s="65">
        <v>3</v>
      </c>
      <c r="AQ10" s="120">
        <f>+COUNTIF(AQ$13:AQ$27,$AP10)/$AQ$5</f>
        <v>0</v>
      </c>
      <c r="AR10" s="120">
        <f>+COUNTIF(AR$13:AR$27,$AP10)/$AR$5</f>
        <v>0.81818181818181823</v>
      </c>
      <c r="AS10" s="120">
        <f>+COUNTIF(AS$13:AS$27,$AP10)/AS$5</f>
        <v>0</v>
      </c>
      <c r="AT10" s="120">
        <f t="shared" si="31"/>
        <v>0.81818181818181823</v>
      </c>
      <c r="AU10" s="120">
        <f t="shared" si="31"/>
        <v>0</v>
      </c>
      <c r="AV10" s="120">
        <f>AVERAGE(AV13:AV27)</f>
        <v>0.5</v>
      </c>
      <c r="AW10" s="121">
        <f t="shared" si="31"/>
        <v>1</v>
      </c>
      <c r="AX10" s="117"/>
      <c r="AY10" s="113"/>
      <c r="AZ10" s="122" t="s">
        <v>167</v>
      </c>
      <c r="BA10" s="123">
        <f t="shared" ref="BA10:BF10" si="47">AVERAGE(BA13:BA27)</f>
        <v>6.2666666666666666</v>
      </c>
      <c r="BB10" s="124">
        <f t="shared" si="47"/>
        <v>1.7692307692307692</v>
      </c>
      <c r="BC10" s="123">
        <f t="shared" si="47"/>
        <v>1.1000000000000001</v>
      </c>
      <c r="BD10" s="123">
        <f t="shared" si="47"/>
        <v>8.375</v>
      </c>
      <c r="BE10" s="124" t="e">
        <f t="shared" si="47"/>
        <v>#DIV/0!</v>
      </c>
      <c r="BF10" s="115" t="e">
        <f t="shared" si="47"/>
        <v>#DIV/0!</v>
      </c>
      <c r="BG10" s="125">
        <v>3</v>
      </c>
      <c r="BH10" s="115">
        <f>+COUNTIF(BH$13:BH$27,$BG10)/BH$5</f>
        <v>0</v>
      </c>
      <c r="BI10" s="115">
        <f t="shared" si="33"/>
        <v>1</v>
      </c>
      <c r="BJ10" s="115">
        <f t="shared" si="33"/>
        <v>1</v>
      </c>
      <c r="BK10" s="115">
        <f t="shared" si="33"/>
        <v>0</v>
      </c>
      <c r="BL10" s="115">
        <f t="shared" si="33"/>
        <v>1</v>
      </c>
      <c r="BM10" s="115">
        <f t="shared" si="33"/>
        <v>0</v>
      </c>
      <c r="BN10" s="124">
        <f>AVERAGE(BN13:BN27)</f>
        <v>0.67958152958152962</v>
      </c>
      <c r="BO10" s="115">
        <f t="shared" si="33"/>
        <v>1</v>
      </c>
      <c r="BP10" s="116">
        <f t="shared" si="33"/>
        <v>0</v>
      </c>
      <c r="BQ10" s="113"/>
      <c r="BR10" s="113"/>
      <c r="BS10" s="126" t="s">
        <v>167</v>
      </c>
      <c r="BT10" s="119">
        <f>AVERAGE(BT13:BT27)</f>
        <v>1.8</v>
      </c>
      <c r="BU10" s="272" t="e">
        <f t="shared" ref="BU10" si="48">AVERAGE(BU13:BU27)</f>
        <v>#DIV/0!</v>
      </c>
      <c r="BV10" s="142">
        <f>AVERAGE(BV13:BV27)</f>
        <v>0</v>
      </c>
      <c r="BW10" s="119">
        <f>AVERAGE(BW13:BW27)</f>
        <v>0</v>
      </c>
      <c r="BX10" s="119" t="e">
        <f>AVERAGE(BX13:BX27)</f>
        <v>#DIV/0!</v>
      </c>
      <c r="BY10" s="120" t="e">
        <f>AVERAGE(BY13:BY27)</f>
        <v>#DIV/0!</v>
      </c>
      <c r="BZ10" s="65">
        <v>3</v>
      </c>
      <c r="CA10" s="120">
        <f t="shared" si="35"/>
        <v>0</v>
      </c>
      <c r="CB10" s="120" t="e">
        <f t="shared" si="35"/>
        <v>#DIV/0!</v>
      </c>
      <c r="CC10" s="120" t="e">
        <f t="shared" si="35"/>
        <v>#DIV/0!</v>
      </c>
      <c r="CD10" s="120" t="e">
        <f t="shared" si="35"/>
        <v>#DIV/0!</v>
      </c>
      <c r="CE10" s="120" t="e">
        <f t="shared" si="35"/>
        <v>#DIV/0!</v>
      </c>
      <c r="CF10" s="121" t="e">
        <f t="shared" si="35"/>
        <v>#DIV/0!</v>
      </c>
      <c r="CG10" s="117"/>
      <c r="CH10" s="117"/>
      <c r="CI10" s="126">
        <v>3</v>
      </c>
      <c r="CJ10" s="120">
        <f t="shared" si="42"/>
        <v>0.9285714285714286</v>
      </c>
      <c r="CK10" s="120">
        <f t="shared" si="42"/>
        <v>0</v>
      </c>
      <c r="CL10" s="119" t="s">
        <v>167</v>
      </c>
      <c r="CM10" s="119">
        <f>AVERAGE(CM13:CM27)</f>
        <v>1426.6666666666667</v>
      </c>
      <c r="CN10" s="119">
        <f>AVERAGE(CN13:CN27)</f>
        <v>688.88888888888891</v>
      </c>
      <c r="CO10" s="119">
        <f>AVERAGE(CO13:CO27)</f>
        <v>14.4</v>
      </c>
      <c r="CP10" s="121">
        <f>AVERAGE(CP13:CP27)</f>
        <v>0.20129210658622423</v>
      </c>
      <c r="CQ10" s="117"/>
      <c r="CR10" s="117"/>
      <c r="CS10" s="127">
        <v>3</v>
      </c>
      <c r="CT10" s="120">
        <f>+COUNTIF(CT$13:CT$27,$CS10)/CT$5</f>
        <v>0</v>
      </c>
      <c r="CU10" s="120">
        <f t="shared" si="36"/>
        <v>0</v>
      </c>
      <c r="CV10" s="120">
        <f t="shared" si="36"/>
        <v>0</v>
      </c>
      <c r="CW10" s="120">
        <f t="shared" si="36"/>
        <v>0</v>
      </c>
      <c r="CX10" s="120">
        <f t="shared" si="36"/>
        <v>0</v>
      </c>
      <c r="CY10" s="120">
        <f t="shared" si="36"/>
        <v>0</v>
      </c>
      <c r="CZ10" s="120">
        <f t="shared" si="36"/>
        <v>0</v>
      </c>
      <c r="DA10" s="120">
        <f t="shared" si="36"/>
        <v>0</v>
      </c>
      <c r="DB10" s="120">
        <f t="shared" si="36"/>
        <v>0</v>
      </c>
      <c r="DC10" s="121">
        <f t="shared" si="36"/>
        <v>0</v>
      </c>
      <c r="DD10" s="117"/>
      <c r="DE10" s="128"/>
      <c r="DF10" s="129">
        <v>3</v>
      </c>
      <c r="DG10" s="130">
        <f t="shared" si="43"/>
        <v>0.66666666666666663</v>
      </c>
      <c r="DH10" s="130">
        <f t="shared" si="43"/>
        <v>0</v>
      </c>
      <c r="DI10" s="130">
        <f>+COUNTIF(DI$13:DI$27,$DF$10)/15</f>
        <v>0</v>
      </c>
      <c r="DJ10" s="130">
        <f>+COUNTIF(DJ$13:DJ$27,$DF$10)/15</f>
        <v>0</v>
      </c>
      <c r="DK10" s="130"/>
      <c r="DL10" s="131" t="s">
        <v>167</v>
      </c>
      <c r="DM10" s="132">
        <f>AVERAGE(DM13:DM27)</f>
        <v>14</v>
      </c>
      <c r="DN10" s="130">
        <f>AVERAGE(DN13:DN27)</f>
        <v>0</v>
      </c>
      <c r="DO10" s="132" t="e">
        <f>AVERAGE(DO13:DO27)</f>
        <v>#DIV/0!</v>
      </c>
      <c r="DP10" s="132" t="e">
        <f>AVERAGE(DP13:DP27)</f>
        <v>#DIV/0!</v>
      </c>
      <c r="DQ10" s="353"/>
      <c r="DR10" s="133" t="e">
        <f>AVERAGE(DR13:DR27)</f>
        <v>#DIV/0!</v>
      </c>
      <c r="DS10" s="134"/>
      <c r="DT10" s="113"/>
      <c r="DU10" s="143" t="s">
        <v>167</v>
      </c>
      <c r="DV10" s="142">
        <f>AVERAGE(DV13:DV27)</f>
        <v>2</v>
      </c>
      <c r="DW10" s="142">
        <f>AVERAGE(DW13:DW27)</f>
        <v>6</v>
      </c>
      <c r="DX10" s="142">
        <f>AVERAGE(DX13:DX27)</f>
        <v>1</v>
      </c>
      <c r="DY10" s="113" t="s">
        <v>166</v>
      </c>
      <c r="DZ10" s="113"/>
      <c r="EA10" s="127" t="s">
        <v>167</v>
      </c>
      <c r="EB10" s="137">
        <f>AVERAGE(EB13:EB27)</f>
        <v>341.98333333333335</v>
      </c>
      <c r="EC10" s="137">
        <f t="shared" ref="EC10:EO10" si="49">AVERAGE(EC13:EC27)</f>
        <v>262.83749999999998</v>
      </c>
      <c r="ED10" s="138" t="e">
        <f>AVERAGE(ED13:ED27)</f>
        <v>#DIV/0!</v>
      </c>
      <c r="EE10" s="137">
        <f t="shared" si="49"/>
        <v>353.48</v>
      </c>
      <c r="EF10" s="138" t="e">
        <f>AVERAGE(EF13:EF27)</f>
        <v>#DIV/0!</v>
      </c>
      <c r="EG10" s="137">
        <f>AVERAGE(EG13:EG27)</f>
        <v>10.117687499999999</v>
      </c>
      <c r="EH10" s="137" t="e">
        <f t="shared" si="49"/>
        <v>#DIV/0!</v>
      </c>
      <c r="EI10" s="137" t="e">
        <f t="shared" si="49"/>
        <v>#DIV/0!</v>
      </c>
      <c r="EJ10" s="137" t="e">
        <f t="shared" si="49"/>
        <v>#DIV/0!</v>
      </c>
      <c r="EK10" s="137" t="e">
        <f t="shared" si="49"/>
        <v>#DIV/0!</v>
      </c>
      <c r="EL10" s="137" t="e">
        <f t="shared" si="49"/>
        <v>#DIV/0!</v>
      </c>
      <c r="EM10" s="137" t="e">
        <f t="shared" si="49"/>
        <v>#DIV/0!</v>
      </c>
      <c r="EN10" s="137" t="e">
        <f t="shared" si="49"/>
        <v>#DIV/0!</v>
      </c>
      <c r="EO10" s="137" t="e">
        <f t="shared" si="49"/>
        <v>#DIV/0!</v>
      </c>
      <c r="EP10" s="139">
        <f>AVERAGE(EP13:EP27)</f>
        <v>9.0696535714285709</v>
      </c>
      <c r="EQ10" s="284">
        <f>AVERAGE(EQ13:EQ27)</f>
        <v>0</v>
      </c>
      <c r="ER10" s="284" t="e">
        <f>AVERAGE(ER13:ER27)</f>
        <v>#DIV/0!</v>
      </c>
      <c r="ES10" s="134"/>
      <c r="ET10" s="113"/>
      <c r="EU10" s="127" t="s">
        <v>167</v>
      </c>
      <c r="EV10" s="119" t="e">
        <f>AVERAGE(EV13:EV27)</f>
        <v>#DIV/0!</v>
      </c>
      <c r="EW10" s="119" t="e">
        <f t="shared" ref="EW10:FD10" si="50">AVERAGE(EW13:EW27)</f>
        <v>#DIV/0!</v>
      </c>
      <c r="EX10" s="119" t="e">
        <f t="shared" si="50"/>
        <v>#DIV/0!</v>
      </c>
      <c r="EY10" s="119" t="e">
        <f t="shared" si="50"/>
        <v>#DIV/0!</v>
      </c>
      <c r="EZ10" s="119" t="e">
        <f t="shared" si="50"/>
        <v>#DIV/0!</v>
      </c>
      <c r="FA10" s="119" t="e">
        <f t="shared" si="50"/>
        <v>#DIV/0!</v>
      </c>
      <c r="FB10" s="119" t="e">
        <f t="shared" si="50"/>
        <v>#DIV/0!</v>
      </c>
      <c r="FC10" s="119" t="e">
        <f t="shared" si="50"/>
        <v>#DIV/0!</v>
      </c>
      <c r="FD10" s="119" t="e">
        <f t="shared" si="50"/>
        <v>#DIV/0!</v>
      </c>
      <c r="FE10" s="113"/>
      <c r="FF10" s="122" t="s">
        <v>167</v>
      </c>
      <c r="FG10" s="124">
        <f>AVERAGE(FG13:FG27)</f>
        <v>0.41666666666666669</v>
      </c>
      <c r="FH10" s="124">
        <f>AVERAGE(FH13:FH27)</f>
        <v>3</v>
      </c>
      <c r="FI10" s="124">
        <f>AVERAGE(FI13:FI27)</f>
        <v>2.5833333333333335</v>
      </c>
      <c r="FJ10" s="124">
        <f>AVERAGE(FJ13:FJ27)</f>
        <v>0</v>
      </c>
      <c r="FK10" s="124">
        <f>AVERAGE(FK13:FK27)</f>
        <v>2</v>
      </c>
    </row>
    <row r="11" spans="1:168" s="141" customFormat="1" ht="22.5" customHeight="1" thickBot="1" x14ac:dyDescent="0.3">
      <c r="A11" s="113"/>
      <c r="B11" s="146" t="s">
        <v>168</v>
      </c>
      <c r="C11" s="147">
        <f>MAX(C13:C27)</f>
        <v>29</v>
      </c>
      <c r="D11" s="147">
        <f>MAX(D13:D27)</f>
        <v>165</v>
      </c>
      <c r="E11" s="265">
        <f t="shared" ref="E11:F11" si="51">MAX(E13:E27)</f>
        <v>14</v>
      </c>
      <c r="F11" s="266">
        <f t="shared" si="51"/>
        <v>0.35897435897435898</v>
      </c>
      <c r="G11" s="147">
        <f>MAX(G13:G27)</f>
        <v>11</v>
      </c>
      <c r="H11" s="147">
        <f>MAX(H13:H27)</f>
        <v>44</v>
      </c>
      <c r="I11" s="147">
        <f>MAX(I13:I27)</f>
        <v>6</v>
      </c>
      <c r="J11" s="148">
        <f t="shared" ref="J11:V11" si="52">MAX(J13:J27)</f>
        <v>0.83333333333333337</v>
      </c>
      <c r="K11" s="147">
        <f t="shared" si="52"/>
        <v>3</v>
      </c>
      <c r="L11" s="148">
        <f t="shared" si="52"/>
        <v>1</v>
      </c>
      <c r="M11" s="147">
        <f t="shared" si="52"/>
        <v>6</v>
      </c>
      <c r="N11" s="148">
        <f t="shared" si="52"/>
        <v>1</v>
      </c>
      <c r="O11" s="147">
        <f t="shared" si="52"/>
        <v>3</v>
      </c>
      <c r="P11" s="148">
        <f t="shared" si="52"/>
        <v>1</v>
      </c>
      <c r="Q11" s="147">
        <f t="shared" si="52"/>
        <v>3</v>
      </c>
      <c r="R11" s="148">
        <f t="shared" si="52"/>
        <v>0.33333333333333331</v>
      </c>
      <c r="S11" s="147">
        <f t="shared" si="52"/>
        <v>6</v>
      </c>
      <c r="T11" s="148">
        <f t="shared" si="52"/>
        <v>1</v>
      </c>
      <c r="U11" s="149">
        <f t="shared" si="52"/>
        <v>4</v>
      </c>
      <c r="V11" s="150">
        <f t="shared" si="52"/>
        <v>0.8</v>
      </c>
      <c r="W11" s="113"/>
      <c r="X11" s="146">
        <v>4</v>
      </c>
      <c r="Y11" s="147"/>
      <c r="Z11" s="148"/>
      <c r="AA11" s="151"/>
      <c r="AB11" s="147"/>
      <c r="AC11" s="147"/>
      <c r="AD11" s="147"/>
      <c r="AE11" s="147"/>
      <c r="AF11" s="147"/>
      <c r="AG11" s="152"/>
      <c r="AH11" s="113"/>
      <c r="AI11" s="153"/>
      <c r="AJ11" s="154" t="s">
        <v>168</v>
      </c>
      <c r="AK11" s="155">
        <f>MAX(AK13:AK27)</f>
        <v>6</v>
      </c>
      <c r="AL11" s="155">
        <f>MAX(AL13:AL27)</f>
        <v>2</v>
      </c>
      <c r="AM11" s="155">
        <f>MAX(AM13:AM27)</f>
        <v>60</v>
      </c>
      <c r="AN11" s="156" t="e">
        <f>MAX(AN13:AN27)</f>
        <v>#DIV/0!</v>
      </c>
      <c r="AO11" s="157" t="e">
        <f>MAX(AO13:AO27)</f>
        <v>#DIV/0!</v>
      </c>
      <c r="AP11" s="154">
        <v>4</v>
      </c>
      <c r="AQ11" s="157">
        <f>+COUNTIF(AQ$13:AQ$27,$AP11)/$AQ$5</f>
        <v>0.18181818181818182</v>
      </c>
      <c r="AR11" s="157">
        <f>+COUNTIF(AR$13:AR$27,$AP11)/$AR$5</f>
        <v>0</v>
      </c>
      <c r="AS11" s="157">
        <f>+COUNTIF(AS$13:AS$27,$AP11)/AS$5</f>
        <v>0</v>
      </c>
      <c r="AT11" s="157">
        <f t="shared" si="31"/>
        <v>0</v>
      </c>
      <c r="AU11" s="157">
        <f t="shared" si="31"/>
        <v>0</v>
      </c>
      <c r="AV11" s="157">
        <f>MAX(AV13:AV27)</f>
        <v>0.5</v>
      </c>
      <c r="AW11" s="158">
        <f t="shared" si="31"/>
        <v>0</v>
      </c>
      <c r="AX11" s="117"/>
      <c r="AY11" s="113"/>
      <c r="AZ11" s="159" t="s">
        <v>168</v>
      </c>
      <c r="BA11" s="147">
        <f>MAX(BA13:BA27)</f>
        <v>9</v>
      </c>
      <c r="BB11" s="147">
        <f>MAX(BB13:BB27)</f>
        <v>4</v>
      </c>
      <c r="BC11" s="147">
        <f>MAX(BC13:BC27)</f>
        <v>2</v>
      </c>
      <c r="BD11" s="147">
        <f>MAX(BD13:BD27)</f>
        <v>14</v>
      </c>
      <c r="BE11" s="149" t="e">
        <f>MAX(BE13:BE27)</f>
        <v>#DIV/0!</v>
      </c>
      <c r="BF11" s="147"/>
      <c r="BG11" s="160">
        <v>4</v>
      </c>
      <c r="BH11" s="148">
        <f>+COUNTIF(BH$13:BH$27,$BG11)/BH$5</f>
        <v>0</v>
      </c>
      <c r="BI11" s="148">
        <f t="shared" si="33"/>
        <v>0</v>
      </c>
      <c r="BJ11" s="148">
        <f t="shared" si="33"/>
        <v>0</v>
      </c>
      <c r="BK11" s="148">
        <f t="shared" si="33"/>
        <v>0</v>
      </c>
      <c r="BL11" s="148">
        <f t="shared" si="33"/>
        <v>0</v>
      </c>
      <c r="BM11" s="148">
        <f t="shared" si="33"/>
        <v>0</v>
      </c>
      <c r="BN11" s="147">
        <f>MAX(BN13:BN27)</f>
        <v>1</v>
      </c>
      <c r="BO11" s="148">
        <f t="shared" si="33"/>
        <v>0</v>
      </c>
      <c r="BP11" s="150">
        <f t="shared" si="33"/>
        <v>0</v>
      </c>
      <c r="BQ11" s="113"/>
      <c r="BR11" s="113"/>
      <c r="BS11" s="161" t="s">
        <v>168</v>
      </c>
      <c r="BT11" s="155">
        <f>MAX(BT13:BT27)</f>
        <v>3</v>
      </c>
      <c r="BU11" s="273">
        <f t="shared" ref="BU11" si="53">MAX(BU13:BU27)</f>
        <v>0</v>
      </c>
      <c r="BV11" s="155">
        <f>MAX(BV13:BV27)</f>
        <v>0</v>
      </c>
      <c r="BW11" s="155">
        <f>MAX(BW13:BW27)</f>
        <v>0</v>
      </c>
      <c r="BX11" s="155" t="e">
        <f>MAX(BX13:BX27)</f>
        <v>#DIV/0!</v>
      </c>
      <c r="BY11" s="157" t="e">
        <f>MAX(BY13:BY27)</f>
        <v>#DIV/0!</v>
      </c>
      <c r="BZ11" s="154">
        <v>4</v>
      </c>
      <c r="CA11" s="157">
        <f t="shared" si="35"/>
        <v>0</v>
      </c>
      <c r="CB11" s="157" t="e">
        <f t="shared" si="35"/>
        <v>#DIV/0!</v>
      </c>
      <c r="CC11" s="157" t="e">
        <f t="shared" si="35"/>
        <v>#DIV/0!</v>
      </c>
      <c r="CD11" s="157" t="e">
        <f t="shared" si="35"/>
        <v>#DIV/0!</v>
      </c>
      <c r="CE11" s="157" t="e">
        <f t="shared" si="35"/>
        <v>#DIV/0!</v>
      </c>
      <c r="CF11" s="158" t="e">
        <f t="shared" si="35"/>
        <v>#DIV/0!</v>
      </c>
      <c r="CG11" s="162"/>
      <c r="CH11" s="117"/>
      <c r="CI11" s="161">
        <v>4</v>
      </c>
      <c r="CJ11" s="157">
        <f t="shared" si="42"/>
        <v>0</v>
      </c>
      <c r="CK11" s="157">
        <f t="shared" si="42"/>
        <v>0</v>
      </c>
      <c r="CL11" s="155" t="s">
        <v>168</v>
      </c>
      <c r="CM11" s="155">
        <f>MAX(CM13:CM27)</f>
        <v>2200</v>
      </c>
      <c r="CN11" s="155">
        <f>MAX(CN13:CN27)</f>
        <v>2000</v>
      </c>
      <c r="CO11" s="155">
        <f>MAX(CO13:CO27)</f>
        <v>48</v>
      </c>
      <c r="CP11" s="158">
        <f>MAX(CP13:CP27)</f>
        <v>1</v>
      </c>
      <c r="CQ11" s="113"/>
      <c r="CR11" s="163"/>
      <c r="CS11" s="164">
        <v>4</v>
      </c>
      <c r="CT11" s="157"/>
      <c r="CU11" s="157"/>
      <c r="CV11" s="155"/>
      <c r="CW11" s="155"/>
      <c r="CX11" s="155"/>
      <c r="CY11" s="155"/>
      <c r="CZ11" s="155"/>
      <c r="DA11" s="155"/>
      <c r="DB11" s="155"/>
      <c r="DC11" s="165"/>
      <c r="DD11" s="113"/>
      <c r="DE11" s="128"/>
      <c r="DF11" s="166">
        <v>4</v>
      </c>
      <c r="DG11" s="167">
        <f t="shared" si="43"/>
        <v>0</v>
      </c>
      <c r="DH11" s="167">
        <f t="shared" si="43"/>
        <v>0</v>
      </c>
      <c r="DI11" s="167">
        <f>+COUNTIF(DI$13:DI$27,$DF$11)/15</f>
        <v>0</v>
      </c>
      <c r="DJ11" s="167">
        <f>+COUNTIF(DJ$13:DJ$27,$DF$11)/15</f>
        <v>0</v>
      </c>
      <c r="DK11" s="167"/>
      <c r="DL11" s="168" t="s">
        <v>168</v>
      </c>
      <c r="DM11" s="169">
        <f>MAX(DM13:DM27)</f>
        <v>14</v>
      </c>
      <c r="DN11" s="169"/>
      <c r="DO11" s="169">
        <f>MAX(DO13:DO27)</f>
        <v>0</v>
      </c>
      <c r="DP11" s="169">
        <f>MAX(DP13:DP27)</f>
        <v>0</v>
      </c>
      <c r="DQ11" s="354"/>
      <c r="DR11" s="170">
        <f>MAX(DR13:DR27)</f>
        <v>0</v>
      </c>
      <c r="DS11" s="134"/>
      <c r="DT11" s="113"/>
      <c r="DU11" s="171" t="s">
        <v>168</v>
      </c>
      <c r="DV11" s="155">
        <f>MAX(DV13:DV27)</f>
        <v>4</v>
      </c>
      <c r="DW11" s="155">
        <f>MAX(DW13:DW27)</f>
        <v>25</v>
      </c>
      <c r="DX11" s="155">
        <f>MAX(DX13:DX27)</f>
        <v>3</v>
      </c>
      <c r="DY11" s="113"/>
      <c r="DZ11" s="113"/>
      <c r="EA11" s="164" t="s">
        <v>168</v>
      </c>
      <c r="EB11" s="172">
        <f>MAX(EB13:EB27)</f>
        <v>539</v>
      </c>
      <c r="EC11" s="172">
        <f t="shared" ref="EC11:EO11" si="54">MAX(EC13:EC27)</f>
        <v>539</v>
      </c>
      <c r="ED11" s="173" t="e">
        <f>MAX(ED13:ED27)</f>
        <v>#DIV/0!</v>
      </c>
      <c r="EE11" s="172">
        <f t="shared" si="54"/>
        <v>792</v>
      </c>
      <c r="EF11" s="173" t="e">
        <f>MAX(EF13:EF27)</f>
        <v>#DIV/0!</v>
      </c>
      <c r="EG11" s="172">
        <f>MAX(EG13:EG27)</f>
        <v>18.402750000000001</v>
      </c>
      <c r="EH11" s="172">
        <f t="shared" si="54"/>
        <v>0</v>
      </c>
      <c r="EI11" s="172">
        <f t="shared" si="54"/>
        <v>0</v>
      </c>
      <c r="EJ11" s="172">
        <f t="shared" si="54"/>
        <v>0</v>
      </c>
      <c r="EK11" s="172">
        <f t="shared" si="54"/>
        <v>0</v>
      </c>
      <c r="EL11" s="172">
        <f t="shared" si="54"/>
        <v>0</v>
      </c>
      <c r="EM11" s="172">
        <f t="shared" si="54"/>
        <v>0</v>
      </c>
      <c r="EN11" s="172">
        <f t="shared" si="54"/>
        <v>0</v>
      </c>
      <c r="EO11" s="172">
        <f t="shared" si="54"/>
        <v>0</v>
      </c>
      <c r="EP11" s="174">
        <f>MAX(EP13:EP27)</f>
        <v>26.288150000000002</v>
      </c>
      <c r="EQ11" s="285">
        <f>MAX(EQ13:EQ27)</f>
        <v>0</v>
      </c>
      <c r="ER11" s="285" t="e">
        <f>MAX(ER13:ER27)</f>
        <v>#DIV/0!</v>
      </c>
      <c r="ES11" s="134"/>
      <c r="ET11" s="113"/>
      <c r="EU11" s="164" t="s">
        <v>168</v>
      </c>
      <c r="EV11" s="155">
        <f>MAX(EV13:EV27)</f>
        <v>0</v>
      </c>
      <c r="EW11" s="155">
        <f t="shared" ref="EW11:FD11" si="55">MAX(EW13:EW27)</f>
        <v>0</v>
      </c>
      <c r="EX11" s="155">
        <f t="shared" si="55"/>
        <v>0</v>
      </c>
      <c r="EY11" s="155">
        <f t="shared" si="55"/>
        <v>0</v>
      </c>
      <c r="EZ11" s="155">
        <f t="shared" si="55"/>
        <v>0</v>
      </c>
      <c r="FA11" s="155">
        <f t="shared" si="55"/>
        <v>0</v>
      </c>
      <c r="FB11" s="155" t="e">
        <f t="shared" si="55"/>
        <v>#DIV/0!</v>
      </c>
      <c r="FC11" s="155">
        <f t="shared" si="55"/>
        <v>0</v>
      </c>
      <c r="FD11" s="155">
        <f t="shared" si="55"/>
        <v>0</v>
      </c>
      <c r="FE11" s="113"/>
      <c r="FF11" s="159" t="s">
        <v>168</v>
      </c>
      <c r="FG11" s="147">
        <f>MAX(FG13:FG27)</f>
        <v>1</v>
      </c>
      <c r="FH11" s="147">
        <f>MAX(FH13:FH27)</f>
        <v>30</v>
      </c>
      <c r="FI11" s="147">
        <f>MAX(FI13:FI27)</f>
        <v>30</v>
      </c>
      <c r="FJ11" s="147">
        <f>MAX(FJ13:FJ27)</f>
        <v>0</v>
      </c>
      <c r="FK11" s="147">
        <f>MAX(FK13:FK27)</f>
        <v>5</v>
      </c>
    </row>
    <row r="12" spans="1:168" s="76" customFormat="1" ht="22.5" customHeight="1" thickBot="1" x14ac:dyDescent="0.3">
      <c r="A12" s="11"/>
      <c r="B12" s="727" t="s">
        <v>169</v>
      </c>
      <c r="C12" s="727"/>
      <c r="D12" s="727"/>
      <c r="E12" s="727"/>
      <c r="F12" s="727"/>
      <c r="G12" s="727"/>
      <c r="H12" s="727"/>
      <c r="I12" s="727"/>
      <c r="J12" s="727"/>
      <c r="K12" s="727"/>
      <c r="L12" s="727"/>
      <c r="M12" s="727"/>
      <c r="N12" s="727"/>
      <c r="O12" s="727"/>
      <c r="P12" s="727"/>
      <c r="Q12" s="727"/>
      <c r="R12" s="727"/>
      <c r="S12" s="727"/>
      <c r="T12" s="727"/>
      <c r="U12" s="727"/>
      <c r="V12" s="727"/>
      <c r="W12" s="11"/>
      <c r="X12" s="11"/>
      <c r="Y12" s="11"/>
      <c r="Z12" s="56"/>
      <c r="AA12" s="56"/>
      <c r="AB12" s="56"/>
      <c r="AC12" s="56"/>
      <c r="AD12" s="56"/>
      <c r="AE12" s="56"/>
      <c r="AF12" s="56"/>
      <c r="AG12" s="56"/>
      <c r="AH12" s="11"/>
      <c r="AI12" s="11"/>
      <c r="AJ12" s="11"/>
      <c r="AK12" s="56"/>
      <c r="AL12" s="56"/>
      <c r="AM12" s="56"/>
      <c r="AN12" s="56"/>
      <c r="AO12" s="56"/>
      <c r="AP12" s="56"/>
      <c r="AQ12" s="56"/>
      <c r="AR12" s="56"/>
      <c r="AS12" s="56"/>
      <c r="AT12" s="56"/>
      <c r="AU12" s="56"/>
      <c r="AV12" s="56"/>
      <c r="AW12" s="56"/>
      <c r="AX12" s="11"/>
      <c r="AY12" s="11"/>
      <c r="AZ12" s="11"/>
      <c r="BA12" s="56"/>
      <c r="BB12" s="56"/>
      <c r="BC12" s="56"/>
      <c r="BD12" s="56"/>
      <c r="BE12" s="56"/>
      <c r="BF12" s="56"/>
      <c r="BG12" s="56"/>
      <c r="BH12" s="56"/>
      <c r="BI12" s="56"/>
      <c r="BJ12" s="56"/>
      <c r="BK12" s="56"/>
      <c r="BL12" s="56"/>
      <c r="BM12" s="56"/>
      <c r="BN12" s="56"/>
      <c r="BO12" s="56"/>
      <c r="BP12" s="56"/>
      <c r="BQ12" s="11"/>
      <c r="BR12" s="11"/>
      <c r="BS12" s="11"/>
      <c r="BT12" s="175"/>
      <c r="BU12" s="274"/>
      <c r="BV12" s="175"/>
      <c r="BW12" s="175" t="s">
        <v>169</v>
      </c>
      <c r="BX12" s="175"/>
      <c r="BY12" s="175"/>
      <c r="BZ12" s="175"/>
      <c r="CA12" s="175"/>
      <c r="CB12" s="175"/>
      <c r="CC12" s="175"/>
      <c r="CD12" s="175"/>
      <c r="CE12" s="175"/>
      <c r="CF12" s="175"/>
      <c r="CG12" s="11"/>
      <c r="CH12" s="11"/>
      <c r="CI12" s="56"/>
      <c r="CJ12" s="56"/>
      <c r="CK12" s="56"/>
      <c r="CL12" s="56"/>
      <c r="CM12" s="56"/>
      <c r="CN12" s="56"/>
      <c r="CO12" s="56"/>
      <c r="CP12" s="176"/>
      <c r="CQ12" s="11"/>
      <c r="CR12" s="177"/>
      <c r="CS12" s="177"/>
      <c r="CT12" s="177"/>
      <c r="CU12" s="177"/>
      <c r="CV12" s="177"/>
      <c r="CW12" s="177"/>
      <c r="CX12" s="177"/>
      <c r="CY12" s="177"/>
      <c r="CZ12" s="177"/>
      <c r="DA12" s="177"/>
      <c r="DB12" s="177"/>
      <c r="DC12" s="177"/>
      <c r="DD12" s="11"/>
      <c r="DE12" s="11"/>
      <c r="DF12" s="11"/>
      <c r="DG12" s="56"/>
      <c r="DH12" s="56"/>
      <c r="DI12" s="56"/>
      <c r="DJ12" s="56"/>
      <c r="DK12" s="56"/>
      <c r="DL12" s="56"/>
      <c r="DM12" s="56"/>
      <c r="DN12" s="56"/>
      <c r="DO12" s="56"/>
      <c r="DP12" s="56"/>
      <c r="DQ12" s="56"/>
      <c r="DR12" s="56"/>
      <c r="DS12" s="11"/>
      <c r="DT12" s="11"/>
      <c r="DU12" s="11"/>
      <c r="DV12" s="329"/>
      <c r="DW12" s="329"/>
      <c r="DX12" s="329"/>
      <c r="DY12" s="11"/>
      <c r="DZ12" s="56"/>
      <c r="EA12" s="56"/>
      <c r="EB12" s="329"/>
      <c r="EC12" s="329" t="s">
        <v>169</v>
      </c>
      <c r="ED12" s="329"/>
      <c r="EE12" s="329"/>
      <c r="EF12" s="329"/>
      <c r="EG12" s="329"/>
      <c r="EH12" s="329"/>
      <c r="EI12" s="329"/>
      <c r="EJ12" s="329"/>
      <c r="EK12" s="329"/>
      <c r="EL12" s="329"/>
      <c r="EM12" s="329"/>
      <c r="EN12" s="329"/>
      <c r="EO12" s="329"/>
      <c r="EP12" s="329"/>
      <c r="EQ12" s="286"/>
      <c r="ER12" s="287"/>
      <c r="ES12" s="11"/>
      <c r="ET12" s="11"/>
      <c r="EU12" s="177"/>
      <c r="EV12" s="329"/>
      <c r="EW12" s="329" t="s">
        <v>169</v>
      </c>
      <c r="EX12" s="329"/>
      <c r="EY12" s="329"/>
      <c r="EZ12" s="329"/>
      <c r="FA12" s="329"/>
      <c r="FB12" s="329"/>
      <c r="FC12" s="329"/>
      <c r="FD12" s="329"/>
      <c r="FE12" s="11"/>
    </row>
    <row r="13" spans="1:168" s="204" customFormat="1" ht="22.5" customHeight="1" thickBot="1" x14ac:dyDescent="0.3">
      <c r="A13" s="179">
        <v>1</v>
      </c>
      <c r="B13" s="180" t="s">
        <v>534</v>
      </c>
      <c r="C13" s="181">
        <v>12</v>
      </c>
      <c r="D13" s="181">
        <v>65</v>
      </c>
      <c r="E13" s="252">
        <v>6</v>
      </c>
      <c r="F13" s="253">
        <f>E13/D13</f>
        <v>9.2307692307692313E-2</v>
      </c>
      <c r="G13" s="181">
        <v>6</v>
      </c>
      <c r="H13" s="181">
        <v>36</v>
      </c>
      <c r="I13" s="181">
        <v>5</v>
      </c>
      <c r="J13" s="182">
        <f t="shared" ref="J13:J27" si="56">I13/G13</f>
        <v>0.83333333333333337</v>
      </c>
      <c r="K13" s="183">
        <v>2</v>
      </c>
      <c r="L13" s="182">
        <f>+K13/3</f>
        <v>0.66666666666666663</v>
      </c>
      <c r="M13" s="181">
        <v>0</v>
      </c>
      <c r="N13" s="182">
        <f t="shared" ref="N13:N27" si="57">M13/G13</f>
        <v>0</v>
      </c>
      <c r="O13" s="183">
        <v>0</v>
      </c>
      <c r="P13" s="182">
        <f>+O13/3</f>
        <v>0</v>
      </c>
      <c r="Q13" s="181">
        <v>0</v>
      </c>
      <c r="R13" s="182">
        <f t="shared" ref="R13:R27" si="58">+Q13/G13</f>
        <v>0</v>
      </c>
      <c r="S13" s="181">
        <v>0</v>
      </c>
      <c r="T13" s="182">
        <f t="shared" ref="T13:T27" si="59">S13/G13</f>
        <v>0</v>
      </c>
      <c r="U13" s="183">
        <v>0</v>
      </c>
      <c r="V13" s="184">
        <f t="shared" ref="V13:V27" si="60">U13/G13</f>
        <v>0</v>
      </c>
      <c r="W13" s="185">
        <v>1</v>
      </c>
      <c r="X13" s="332" t="str">
        <f>+B13</f>
        <v>KOU01</v>
      </c>
      <c r="Y13" s="186"/>
      <c r="Z13" s="186">
        <v>1</v>
      </c>
      <c r="AA13" s="186">
        <v>1</v>
      </c>
      <c r="AB13" s="186">
        <v>1</v>
      </c>
      <c r="AC13" s="186">
        <v>1</v>
      </c>
      <c r="AD13" s="186"/>
      <c r="AE13" s="186">
        <v>1</v>
      </c>
      <c r="AF13" s="186"/>
      <c r="AG13" s="187"/>
      <c r="AH13" s="188"/>
      <c r="AI13" s="185">
        <v>1</v>
      </c>
      <c r="AJ13" s="332" t="str">
        <f>+X13</f>
        <v>KOU01</v>
      </c>
      <c r="AK13" s="186"/>
      <c r="AL13" s="186"/>
      <c r="AM13" s="186"/>
      <c r="AN13" s="189" t="e">
        <f>+AM13/AL13</f>
        <v>#DIV/0!</v>
      </c>
      <c r="AO13" s="190" t="e">
        <f t="shared" ref="AO13:AO27" si="61">+AN13/D13</f>
        <v>#DIV/0!</v>
      </c>
      <c r="AP13" s="333" t="str">
        <f>+AJ13</f>
        <v>KOU01</v>
      </c>
      <c r="AQ13" s="186"/>
      <c r="AR13" s="186"/>
      <c r="AS13" s="186"/>
      <c r="AT13" s="186"/>
      <c r="AU13" s="186"/>
      <c r="AV13" s="191"/>
      <c r="AW13" s="187"/>
      <c r="AX13" s="188"/>
      <c r="AY13" s="185">
        <v>1</v>
      </c>
      <c r="AZ13" s="332" t="str">
        <f>+AJ13</f>
        <v>KOU01</v>
      </c>
      <c r="BA13" s="186">
        <v>4</v>
      </c>
      <c r="BB13" s="186">
        <v>3</v>
      </c>
      <c r="BC13" s="186"/>
      <c r="BD13" s="186"/>
      <c r="BE13" s="189" t="e">
        <f>BD13/BC13</f>
        <v>#DIV/0!</v>
      </c>
      <c r="BF13" s="192" t="e">
        <f t="shared" ref="BF13:BF27" si="62">BE13/BA13</f>
        <v>#DIV/0!</v>
      </c>
      <c r="BG13" s="334" t="str">
        <f t="shared" ref="BG13:BG22" si="63">+AZ13</f>
        <v>KOU01</v>
      </c>
      <c r="BH13" s="186"/>
      <c r="BI13" s="186"/>
      <c r="BJ13" s="186"/>
      <c r="BK13" s="186"/>
      <c r="BL13" s="186">
        <v>3</v>
      </c>
      <c r="BM13" s="186"/>
      <c r="BN13" s="186"/>
      <c r="BO13" s="186"/>
      <c r="BP13" s="187"/>
      <c r="BQ13" s="188"/>
      <c r="BR13" s="179">
        <v>1</v>
      </c>
      <c r="BS13" s="335" t="str">
        <f>+AZ13</f>
        <v>KOU01</v>
      </c>
      <c r="BT13" s="181">
        <v>2</v>
      </c>
      <c r="BU13" s="252"/>
      <c r="BV13" s="181"/>
      <c r="BW13" s="181"/>
      <c r="BX13" s="193" t="e">
        <f>+BW13/BV13</f>
        <v>#DIV/0!</v>
      </c>
      <c r="BY13" s="182" t="e">
        <f>BX13/BT13</f>
        <v>#DIV/0!</v>
      </c>
      <c r="BZ13" s="335" t="str">
        <f t="shared" ref="BZ13:BZ22" si="64">+BS13</f>
        <v>KOU01</v>
      </c>
      <c r="CA13" s="181"/>
      <c r="CB13" s="181"/>
      <c r="CC13" s="181"/>
      <c r="CD13" s="181"/>
      <c r="CE13" s="181"/>
      <c r="CF13" s="194"/>
      <c r="CG13" s="195"/>
      <c r="CH13" s="179">
        <v>1</v>
      </c>
      <c r="CI13" s="181" t="str">
        <f>BS13</f>
        <v>KOU01</v>
      </c>
      <c r="CJ13" s="181">
        <v>3</v>
      </c>
      <c r="CK13" s="181" t="s">
        <v>530</v>
      </c>
      <c r="CL13" s="336" t="str">
        <f>+CI13</f>
        <v>KOU01</v>
      </c>
      <c r="CM13" s="181">
        <v>1000</v>
      </c>
      <c r="CN13" s="181">
        <v>500</v>
      </c>
      <c r="CO13" s="181">
        <v>0</v>
      </c>
      <c r="CP13" s="184">
        <f t="shared" ref="CP13:CP27" si="65">CO13/D13</f>
        <v>0</v>
      </c>
      <c r="CQ13" s="196"/>
      <c r="CR13" s="179">
        <v>1</v>
      </c>
      <c r="CS13" s="337" t="str">
        <f>CI13</f>
        <v>KOU01</v>
      </c>
      <c r="CT13" s="197"/>
      <c r="CU13" s="197"/>
      <c r="CV13" s="197"/>
      <c r="CW13" s="197"/>
      <c r="CX13" s="197"/>
      <c r="CY13" s="197"/>
      <c r="CZ13" s="197"/>
      <c r="DA13" s="197"/>
      <c r="DB13" s="197"/>
      <c r="DC13" s="198"/>
      <c r="DD13" s="196"/>
      <c r="DE13" s="179">
        <v>1</v>
      </c>
      <c r="DF13" s="337" t="str">
        <f>+CS13</f>
        <v>KOU01</v>
      </c>
      <c r="DG13" s="181"/>
      <c r="DH13" s="181"/>
      <c r="DI13" s="181"/>
      <c r="DJ13" s="181"/>
      <c r="DK13" s="181"/>
      <c r="DL13" s="337" t="str">
        <f t="shared" ref="DL13:DL27" si="66">+DF13</f>
        <v>KOU01</v>
      </c>
      <c r="DM13" s="181"/>
      <c r="DN13" s="199"/>
      <c r="DO13" s="181"/>
      <c r="DP13" s="181"/>
      <c r="DQ13" s="203"/>
      <c r="DR13" s="194"/>
      <c r="DS13" s="188"/>
      <c r="DT13" s="179">
        <v>1</v>
      </c>
      <c r="DU13" s="337" t="str">
        <f>EA13</f>
        <v>KOU01</v>
      </c>
      <c r="DV13" s="186"/>
      <c r="DW13" s="186"/>
      <c r="DX13" s="186"/>
      <c r="DY13" s="188"/>
      <c r="DZ13" s="179">
        <v>1</v>
      </c>
      <c r="EA13" s="337" t="str">
        <f>+BS13</f>
        <v>KOU01</v>
      </c>
      <c r="EB13" s="181"/>
      <c r="EC13" s="181"/>
      <c r="ED13" s="199" t="e">
        <f>EC13/EB13</f>
        <v>#DIV/0!</v>
      </c>
      <c r="EE13" s="181"/>
      <c r="EF13" s="199" t="e">
        <f>EE13/EB13</f>
        <v>#DIV/0!</v>
      </c>
      <c r="EG13" s="200"/>
      <c r="EH13" s="181"/>
      <c r="EI13" s="181"/>
      <c r="EJ13" s="181"/>
      <c r="EK13" s="181"/>
      <c r="EL13" s="181"/>
      <c r="EM13" s="181"/>
      <c r="EN13" s="181"/>
      <c r="EO13" s="181"/>
      <c r="EP13" s="331">
        <v>8.0260999999999996</v>
      </c>
      <c r="EQ13" s="288">
        <v>0</v>
      </c>
      <c r="ER13" s="289"/>
      <c r="ES13" s="188"/>
      <c r="ET13" s="201"/>
      <c r="EU13" s="338" t="str">
        <f>EA13</f>
        <v>KOU01</v>
      </c>
      <c r="EV13" s="181"/>
      <c r="EW13" s="181"/>
      <c r="EX13" s="181"/>
      <c r="EY13" s="181"/>
      <c r="EZ13" s="181"/>
      <c r="FA13" s="181"/>
      <c r="FB13" s="202" t="e">
        <f>FA13/EZ13</f>
        <v>#DIV/0!</v>
      </c>
      <c r="FC13" s="181"/>
      <c r="FD13" s="181"/>
      <c r="FE13" s="179">
        <v>1</v>
      </c>
      <c r="FF13" s="337" t="str">
        <f>EU13</f>
        <v>KOU01</v>
      </c>
      <c r="FG13" s="181"/>
      <c r="FH13" s="203"/>
      <c r="FI13" s="203"/>
      <c r="FJ13" s="203"/>
      <c r="FK13" s="194"/>
      <c r="FL13" s="217"/>
    </row>
    <row r="14" spans="1:168" s="204" customFormat="1" ht="22.5" customHeight="1" thickBot="1" x14ac:dyDescent="0.3">
      <c r="A14" s="205">
        <v>2</v>
      </c>
      <c r="B14" s="206" t="s">
        <v>535</v>
      </c>
      <c r="C14" s="207">
        <v>29</v>
      </c>
      <c r="D14" s="207">
        <v>48</v>
      </c>
      <c r="E14" s="252">
        <v>5</v>
      </c>
      <c r="F14" s="253">
        <f t="shared" ref="F14:F27" si="67">E14/D14</f>
        <v>0.10416666666666667</v>
      </c>
      <c r="G14" s="207">
        <v>9</v>
      </c>
      <c r="H14" s="207">
        <v>35</v>
      </c>
      <c r="I14" s="207">
        <v>3</v>
      </c>
      <c r="J14" s="208">
        <f t="shared" si="56"/>
        <v>0.33333333333333331</v>
      </c>
      <c r="K14" s="207">
        <v>1</v>
      </c>
      <c r="L14" s="208">
        <f t="shared" ref="L14:L27" si="68">+K14/3</f>
        <v>0.33333333333333331</v>
      </c>
      <c r="M14" s="207">
        <v>5</v>
      </c>
      <c r="N14" s="208">
        <f t="shared" si="57"/>
        <v>0.55555555555555558</v>
      </c>
      <c r="O14" s="209">
        <v>3</v>
      </c>
      <c r="P14" s="208">
        <f>+O14/3</f>
        <v>1</v>
      </c>
      <c r="Q14" s="207">
        <v>0</v>
      </c>
      <c r="R14" s="208">
        <f t="shared" si="58"/>
        <v>0</v>
      </c>
      <c r="S14" s="207">
        <v>1</v>
      </c>
      <c r="T14" s="208">
        <f t="shared" si="59"/>
        <v>0.1111111111111111</v>
      </c>
      <c r="U14" s="207">
        <v>2</v>
      </c>
      <c r="V14" s="210">
        <f t="shared" si="60"/>
        <v>0.22222222222222221</v>
      </c>
      <c r="W14" s="211">
        <v>2</v>
      </c>
      <c r="X14" s="339" t="str">
        <f>+B14</f>
        <v>KOU02</v>
      </c>
      <c r="Y14" s="212">
        <v>2</v>
      </c>
      <c r="Z14" s="212">
        <v>1</v>
      </c>
      <c r="AA14" s="212">
        <v>1</v>
      </c>
      <c r="AB14" s="212">
        <v>1</v>
      </c>
      <c r="AC14" s="212">
        <v>1</v>
      </c>
      <c r="AD14" s="212">
        <v>1</v>
      </c>
      <c r="AE14" s="212">
        <v>1</v>
      </c>
      <c r="AF14" s="212">
        <v>1</v>
      </c>
      <c r="AG14" s="213">
        <v>1</v>
      </c>
      <c r="AH14" s="188"/>
      <c r="AI14" s="211">
        <v>2</v>
      </c>
      <c r="AJ14" s="339" t="str">
        <f t="shared" ref="AJ14:AJ27" si="69">+X14</f>
        <v>KOU02</v>
      </c>
      <c r="AK14" s="212"/>
      <c r="AL14" s="212"/>
      <c r="AM14" s="212"/>
      <c r="AN14" s="214" t="e">
        <f>+AM14/AL14</f>
        <v>#DIV/0!</v>
      </c>
      <c r="AO14" s="215" t="e">
        <f t="shared" si="61"/>
        <v>#DIV/0!</v>
      </c>
      <c r="AP14" s="340" t="str">
        <f t="shared" ref="AP14:AP27" si="70">+AJ14</f>
        <v>KOU02</v>
      </c>
      <c r="AQ14" s="212">
        <v>1</v>
      </c>
      <c r="AR14" s="212">
        <v>3</v>
      </c>
      <c r="AS14" s="212">
        <v>2</v>
      </c>
      <c r="AT14" s="212">
        <v>2</v>
      </c>
      <c r="AU14" s="212">
        <v>1</v>
      </c>
      <c r="AV14" s="223">
        <v>0.5</v>
      </c>
      <c r="AW14" s="213"/>
      <c r="AX14" s="188"/>
      <c r="AY14" s="211">
        <v>2</v>
      </c>
      <c r="AZ14" s="339" t="str">
        <f t="shared" ref="AZ14:AZ27" si="71">+AJ14</f>
        <v>KOU02</v>
      </c>
      <c r="BA14" s="212">
        <v>7</v>
      </c>
      <c r="BB14" s="212">
        <v>2</v>
      </c>
      <c r="BC14" s="212">
        <v>0</v>
      </c>
      <c r="BD14" s="212" t="s">
        <v>170</v>
      </c>
      <c r="BE14" s="214" t="e">
        <f t="shared" ref="BE14:BE27" si="72">BD14/BC14</f>
        <v>#VALUE!</v>
      </c>
      <c r="BF14" s="215" t="e">
        <f t="shared" si="62"/>
        <v>#VALUE!</v>
      </c>
      <c r="BG14" s="341" t="str">
        <f t="shared" si="63"/>
        <v>KOU02</v>
      </c>
      <c r="BH14" s="212">
        <v>1</v>
      </c>
      <c r="BI14" s="212" t="s">
        <v>170</v>
      </c>
      <c r="BJ14" s="212" t="s">
        <v>170</v>
      </c>
      <c r="BK14" s="212" t="s">
        <v>170</v>
      </c>
      <c r="BL14" s="212" t="s">
        <v>170</v>
      </c>
      <c r="BM14" s="212" t="s">
        <v>170</v>
      </c>
      <c r="BN14" s="212" t="s">
        <v>170</v>
      </c>
      <c r="BO14" s="212" t="s">
        <v>170</v>
      </c>
      <c r="BP14" s="213" t="s">
        <v>170</v>
      </c>
      <c r="BQ14" s="188"/>
      <c r="BR14" s="205">
        <v>2</v>
      </c>
      <c r="BS14" s="342" t="str">
        <f t="shared" ref="BS14:BS27" si="73">+AZ14</f>
        <v>KOU02</v>
      </c>
      <c r="BT14" s="207">
        <v>2</v>
      </c>
      <c r="BU14" s="275"/>
      <c r="BV14" s="207">
        <v>0</v>
      </c>
      <c r="BW14" s="207" t="s">
        <v>170</v>
      </c>
      <c r="BX14" s="216" t="e">
        <f>+BW14/BV14</f>
        <v>#VALUE!</v>
      </c>
      <c r="BY14" s="208" t="e">
        <f>BX14/BT14</f>
        <v>#VALUE!</v>
      </c>
      <c r="BZ14" s="342" t="str">
        <f t="shared" si="64"/>
        <v>KOU02</v>
      </c>
      <c r="CA14" s="207">
        <v>1</v>
      </c>
      <c r="CB14" s="207" t="s">
        <v>170</v>
      </c>
      <c r="CC14" s="207" t="s">
        <v>170</v>
      </c>
      <c r="CD14" s="207" t="s">
        <v>170</v>
      </c>
      <c r="CE14" s="207" t="s">
        <v>170</v>
      </c>
      <c r="CF14" s="217" t="s">
        <v>170</v>
      </c>
      <c r="CG14" s="195"/>
      <c r="CH14" s="205">
        <v>2</v>
      </c>
      <c r="CI14" s="207" t="str">
        <f t="shared" ref="CI14:CI27" si="74">BS14</f>
        <v>KOU02</v>
      </c>
      <c r="CJ14" s="207">
        <v>3</v>
      </c>
      <c r="CK14" s="207" t="s">
        <v>530</v>
      </c>
      <c r="CL14" s="343" t="str">
        <f t="shared" ref="CL14:CL27" si="75">+CI14</f>
        <v>KOU02</v>
      </c>
      <c r="CM14" s="207">
        <v>1500</v>
      </c>
      <c r="CN14" s="207"/>
      <c r="CO14" s="218"/>
      <c r="CP14" s="210">
        <f t="shared" si="65"/>
        <v>0</v>
      </c>
      <c r="CQ14" s="196"/>
      <c r="CR14" s="205">
        <v>2</v>
      </c>
      <c r="CS14" s="344" t="str">
        <f>CI14</f>
        <v>KOU02</v>
      </c>
      <c r="CT14" s="218"/>
      <c r="CU14" s="218">
        <v>1</v>
      </c>
      <c r="CV14" s="218"/>
      <c r="CW14" s="218"/>
      <c r="CX14" s="218"/>
      <c r="CY14" s="218"/>
      <c r="CZ14" s="218"/>
      <c r="DA14" s="218"/>
      <c r="DB14" s="218"/>
      <c r="DC14" s="219"/>
      <c r="DD14" s="196"/>
      <c r="DE14" s="205">
        <v>2</v>
      </c>
      <c r="DF14" s="344" t="str">
        <f t="shared" ref="DF14:DF27" si="76">+CS14</f>
        <v>KOU02</v>
      </c>
      <c r="DG14" s="207"/>
      <c r="DH14" s="207"/>
      <c r="DI14" s="207"/>
      <c r="DJ14" s="207"/>
      <c r="DK14" s="207"/>
      <c r="DL14" s="344" t="str">
        <f t="shared" si="66"/>
        <v>KOU02</v>
      </c>
      <c r="DM14" s="207"/>
      <c r="DN14" s="220"/>
      <c r="DO14" s="207"/>
      <c r="DP14" s="207"/>
      <c r="DQ14" s="222"/>
      <c r="DR14" s="217"/>
      <c r="DS14" s="188"/>
      <c r="DT14" s="205">
        <v>2</v>
      </c>
      <c r="DU14" s="337" t="str">
        <f>EA14</f>
        <v>KOU02</v>
      </c>
      <c r="DV14" s="212">
        <v>3</v>
      </c>
      <c r="DW14" s="212">
        <v>0</v>
      </c>
      <c r="DX14" s="212">
        <v>0</v>
      </c>
      <c r="DY14" s="188"/>
      <c r="DZ14" s="205">
        <v>2</v>
      </c>
      <c r="EA14" s="344" t="str">
        <f t="shared" ref="EA14:EA27" si="77">+BS14</f>
        <v>KOU02</v>
      </c>
      <c r="EB14" s="207">
        <v>13.95</v>
      </c>
      <c r="EC14" s="207">
        <v>13.95</v>
      </c>
      <c r="ED14" s="220">
        <f>EC14/EB14</f>
        <v>1</v>
      </c>
      <c r="EE14" s="207"/>
      <c r="EF14" s="220">
        <f>EE14/EB14</f>
        <v>0</v>
      </c>
      <c r="EG14" s="207"/>
      <c r="EH14" s="207"/>
      <c r="EI14" s="207"/>
      <c r="EJ14" s="207"/>
      <c r="EK14" s="207"/>
      <c r="EL14" s="207"/>
      <c r="EM14" s="207"/>
      <c r="EN14" s="207"/>
      <c r="EO14" s="207"/>
      <c r="EP14" s="217">
        <v>4.9161999999999999</v>
      </c>
      <c r="EQ14" s="288">
        <v>0</v>
      </c>
      <c r="ER14" s="289"/>
      <c r="ES14" s="188"/>
      <c r="ET14" s="201"/>
      <c r="EU14" s="338" t="str">
        <f>EA14</f>
        <v>KOU02</v>
      </c>
      <c r="EV14" s="207"/>
      <c r="EW14" s="207"/>
      <c r="EX14" s="207"/>
      <c r="EY14" s="207"/>
      <c r="EZ14" s="207"/>
      <c r="FA14" s="207"/>
      <c r="FB14" s="202" t="e">
        <f t="shared" ref="FB14:FB27" si="78">FA14/EZ14</f>
        <v>#DIV/0!</v>
      </c>
      <c r="FC14" s="207"/>
      <c r="FD14" s="207"/>
      <c r="FE14" s="205">
        <v>2</v>
      </c>
      <c r="FF14" s="337" t="str">
        <f t="shared" ref="FF14:FF27" si="79">EU14</f>
        <v>KOU02</v>
      </c>
      <c r="FG14" s="207">
        <v>1</v>
      </c>
      <c r="FH14" s="222">
        <v>0</v>
      </c>
      <c r="FI14" s="222">
        <v>0</v>
      </c>
      <c r="FJ14" s="222">
        <v>0</v>
      </c>
      <c r="FK14" s="217">
        <v>2</v>
      </c>
      <c r="FL14" s="217"/>
    </row>
    <row r="15" spans="1:168" s="204" customFormat="1" ht="22.5" customHeight="1" thickBot="1" x14ac:dyDescent="0.3">
      <c r="A15" s="205">
        <v>3</v>
      </c>
      <c r="B15" s="206" t="s">
        <v>536</v>
      </c>
      <c r="C15" s="207">
        <v>9</v>
      </c>
      <c r="D15" s="207">
        <v>12</v>
      </c>
      <c r="E15" s="252">
        <v>4</v>
      </c>
      <c r="F15" s="253">
        <f t="shared" si="67"/>
        <v>0.33333333333333331</v>
      </c>
      <c r="G15" s="207">
        <v>6</v>
      </c>
      <c r="H15" s="207">
        <v>35</v>
      </c>
      <c r="I15" s="207">
        <v>1</v>
      </c>
      <c r="J15" s="208">
        <f t="shared" si="56"/>
        <v>0.16666666666666666</v>
      </c>
      <c r="K15" s="207">
        <v>1</v>
      </c>
      <c r="L15" s="208">
        <f t="shared" si="68"/>
        <v>0.33333333333333331</v>
      </c>
      <c r="M15" s="207">
        <v>6</v>
      </c>
      <c r="N15" s="208">
        <f t="shared" si="57"/>
        <v>1</v>
      </c>
      <c r="O15" s="209">
        <v>3</v>
      </c>
      <c r="P15" s="208">
        <f t="shared" ref="P15:P27" si="80">+O15/3</f>
        <v>1</v>
      </c>
      <c r="Q15" s="207">
        <v>0</v>
      </c>
      <c r="R15" s="208">
        <f t="shared" si="58"/>
        <v>0</v>
      </c>
      <c r="S15" s="207">
        <v>6</v>
      </c>
      <c r="T15" s="208">
        <f t="shared" si="59"/>
        <v>1</v>
      </c>
      <c r="U15" s="207">
        <v>1</v>
      </c>
      <c r="V15" s="210">
        <f t="shared" si="60"/>
        <v>0.16666666666666666</v>
      </c>
      <c r="W15" s="211">
        <v>3</v>
      </c>
      <c r="X15" s="339" t="str">
        <f t="shared" ref="X15:X27" si="81">+B15</f>
        <v>KOU03</v>
      </c>
      <c r="Y15" s="212"/>
      <c r="Z15" s="212">
        <v>1</v>
      </c>
      <c r="AA15" s="212">
        <v>1</v>
      </c>
      <c r="AB15" s="212">
        <v>1</v>
      </c>
      <c r="AC15" s="212">
        <v>1</v>
      </c>
      <c r="AD15" s="212">
        <v>1</v>
      </c>
      <c r="AE15" s="212">
        <v>1</v>
      </c>
      <c r="AF15" s="212"/>
      <c r="AG15" s="213"/>
      <c r="AH15" s="188"/>
      <c r="AI15" s="211">
        <v>3</v>
      </c>
      <c r="AJ15" s="339" t="str">
        <f t="shared" si="69"/>
        <v>KOU03</v>
      </c>
      <c r="AK15" s="212" t="s">
        <v>537</v>
      </c>
      <c r="AL15" s="212" t="s">
        <v>537</v>
      </c>
      <c r="AM15" s="212" t="s">
        <v>537</v>
      </c>
      <c r="AN15" s="214" t="e">
        <f>+AM15/AL15</f>
        <v>#VALUE!</v>
      </c>
      <c r="AO15" s="215" t="e">
        <f t="shared" si="61"/>
        <v>#VALUE!</v>
      </c>
      <c r="AP15" s="340" t="str">
        <f t="shared" si="70"/>
        <v>KOU03</v>
      </c>
      <c r="AQ15" s="212">
        <v>4</v>
      </c>
      <c r="AR15" s="212">
        <v>3</v>
      </c>
      <c r="AS15" s="212">
        <v>1</v>
      </c>
      <c r="AT15" s="212">
        <v>3</v>
      </c>
      <c r="AU15" s="212">
        <v>1</v>
      </c>
      <c r="AV15" s="223">
        <v>0.5</v>
      </c>
      <c r="AW15" s="213" t="s">
        <v>170</v>
      </c>
      <c r="AX15" s="188"/>
      <c r="AY15" s="211">
        <v>3</v>
      </c>
      <c r="AZ15" s="339" t="str">
        <f t="shared" si="71"/>
        <v>KOU03</v>
      </c>
      <c r="BA15" s="212">
        <v>4</v>
      </c>
      <c r="BB15" s="212">
        <v>3</v>
      </c>
      <c r="BC15" s="212" t="s">
        <v>537</v>
      </c>
      <c r="BD15" s="212" t="s">
        <v>537</v>
      </c>
      <c r="BE15" s="224" t="e">
        <f t="shared" si="72"/>
        <v>#VALUE!</v>
      </c>
      <c r="BF15" s="215" t="e">
        <f t="shared" si="62"/>
        <v>#VALUE!</v>
      </c>
      <c r="BG15" s="341" t="str">
        <f t="shared" si="63"/>
        <v>KOU03</v>
      </c>
      <c r="BH15" s="212">
        <v>1</v>
      </c>
      <c r="BI15" s="212">
        <v>3</v>
      </c>
      <c r="BJ15" s="212">
        <v>3</v>
      </c>
      <c r="BK15" s="212">
        <v>1</v>
      </c>
      <c r="BL15" s="212">
        <v>3</v>
      </c>
      <c r="BM15" s="212">
        <v>1</v>
      </c>
      <c r="BN15" s="223">
        <v>0.5</v>
      </c>
      <c r="BO15" s="212" t="s">
        <v>170</v>
      </c>
      <c r="BP15" s="213"/>
      <c r="BQ15" s="188"/>
      <c r="BR15" s="205">
        <v>3</v>
      </c>
      <c r="BS15" s="342" t="str">
        <f t="shared" si="73"/>
        <v>KOU03</v>
      </c>
      <c r="BT15" s="207">
        <v>2</v>
      </c>
      <c r="BU15" s="275"/>
      <c r="BV15" s="207">
        <v>0</v>
      </c>
      <c r="BW15" s="207">
        <v>0</v>
      </c>
      <c r="BX15" s="216" t="e">
        <f>+BW15/BV15</f>
        <v>#DIV/0!</v>
      </c>
      <c r="BY15" s="208" t="e">
        <f>BX15/BT15</f>
        <v>#DIV/0!</v>
      </c>
      <c r="BZ15" s="342" t="str">
        <f t="shared" si="64"/>
        <v>KOU03</v>
      </c>
      <c r="CA15" s="207"/>
      <c r="CB15" s="207" t="s">
        <v>170</v>
      </c>
      <c r="CC15" s="207" t="s">
        <v>170</v>
      </c>
      <c r="CD15" s="207" t="s">
        <v>170</v>
      </c>
      <c r="CE15" s="207" t="s">
        <v>170</v>
      </c>
      <c r="CF15" s="217" t="s">
        <v>170</v>
      </c>
      <c r="CG15" s="195"/>
      <c r="CH15" s="205">
        <v>3</v>
      </c>
      <c r="CI15" s="207" t="str">
        <f t="shared" si="74"/>
        <v>KOU03</v>
      </c>
      <c r="CJ15" s="207">
        <v>2</v>
      </c>
      <c r="CK15" s="207" t="s">
        <v>530</v>
      </c>
      <c r="CL15" s="343" t="str">
        <f t="shared" si="75"/>
        <v>KOU03</v>
      </c>
      <c r="CM15" s="207">
        <v>2200</v>
      </c>
      <c r="CN15" s="207"/>
      <c r="CO15" s="218">
        <v>5</v>
      </c>
      <c r="CP15" s="210">
        <f t="shared" si="65"/>
        <v>0.41666666666666669</v>
      </c>
      <c r="CQ15" s="196"/>
      <c r="CR15" s="205">
        <v>3</v>
      </c>
      <c r="CS15" s="344" t="str">
        <f t="shared" ref="CS15:CS27" si="82">CI15</f>
        <v>KOU03</v>
      </c>
      <c r="CT15" s="218"/>
      <c r="CU15" s="218"/>
      <c r="CV15" s="218"/>
      <c r="CW15" s="218"/>
      <c r="CX15" s="218"/>
      <c r="CY15" s="218"/>
      <c r="CZ15" s="218"/>
      <c r="DA15" s="218"/>
      <c r="DB15" s="218"/>
      <c r="DC15" s="219"/>
      <c r="DD15" s="188"/>
      <c r="DE15" s="205">
        <v>3</v>
      </c>
      <c r="DF15" s="344" t="str">
        <f t="shared" si="76"/>
        <v>KOU03</v>
      </c>
      <c r="DG15" s="207" t="s">
        <v>530</v>
      </c>
      <c r="DH15" s="207">
        <v>1</v>
      </c>
      <c r="DI15" s="207"/>
      <c r="DJ15" s="207"/>
      <c r="DK15" s="207"/>
      <c r="DL15" s="344" t="str">
        <f t="shared" si="66"/>
        <v>KOU03</v>
      </c>
      <c r="DM15" s="207"/>
      <c r="DN15" s="220"/>
      <c r="DO15" s="207"/>
      <c r="DP15" s="207"/>
      <c r="DQ15" s="222"/>
      <c r="DR15" s="217"/>
      <c r="DS15" s="188"/>
      <c r="DT15" s="205">
        <v>3</v>
      </c>
      <c r="DU15" s="337" t="str">
        <f t="shared" ref="DU15:DU27" si="83">EA15</f>
        <v>KOU03</v>
      </c>
      <c r="DV15" s="212">
        <v>1</v>
      </c>
      <c r="DW15" s="212">
        <v>0</v>
      </c>
      <c r="DX15" s="212">
        <v>0</v>
      </c>
      <c r="DY15" s="188"/>
      <c r="DZ15" s="205">
        <v>3</v>
      </c>
      <c r="EA15" s="344" t="str">
        <f t="shared" si="77"/>
        <v>KOU03</v>
      </c>
      <c r="EB15" s="207"/>
      <c r="EC15" s="207"/>
      <c r="ED15" s="220" t="e">
        <f t="shared" ref="ED15:ED27" si="84">EC15/EB15</f>
        <v>#DIV/0!</v>
      </c>
      <c r="EE15" s="207">
        <v>63</v>
      </c>
      <c r="EF15" s="220" t="e">
        <f t="shared" ref="EF15:EF27" si="85">EE15/EB15</f>
        <v>#DIV/0!</v>
      </c>
      <c r="EG15" s="207"/>
      <c r="EH15" s="207"/>
      <c r="EI15" s="207"/>
      <c r="EJ15" s="207"/>
      <c r="EK15" s="207"/>
      <c r="EL15" s="207"/>
      <c r="EM15" s="207"/>
      <c r="EN15" s="207"/>
      <c r="EO15" s="207"/>
      <c r="EP15" s="217">
        <v>3.8963999999999999</v>
      </c>
      <c r="EQ15" s="288">
        <v>0</v>
      </c>
      <c r="ER15" s="289">
        <f t="shared" ref="ER15:ER27" si="86">EQ15/EP15</f>
        <v>0</v>
      </c>
      <c r="ES15" s="188"/>
      <c r="ET15" s="201"/>
      <c r="EU15" s="338" t="str">
        <f>EA15</f>
        <v>KOU03</v>
      </c>
      <c r="EV15" s="207"/>
      <c r="EW15" s="207"/>
      <c r="EX15" s="207"/>
      <c r="EY15" s="207"/>
      <c r="EZ15" s="207"/>
      <c r="FA15" s="207"/>
      <c r="FB15" s="202" t="e">
        <f t="shared" si="78"/>
        <v>#DIV/0!</v>
      </c>
      <c r="FC15" s="207"/>
      <c r="FD15" s="207"/>
      <c r="FE15" s="205">
        <v>3</v>
      </c>
      <c r="FF15" s="337" t="str">
        <f t="shared" si="79"/>
        <v>KOU03</v>
      </c>
      <c r="FG15" s="207">
        <v>0</v>
      </c>
      <c r="FH15" s="222">
        <v>0</v>
      </c>
      <c r="FI15" s="222">
        <v>0</v>
      </c>
      <c r="FJ15" s="222">
        <v>0</v>
      </c>
      <c r="FK15" s="217">
        <v>0</v>
      </c>
      <c r="FL15" s="217"/>
    </row>
    <row r="16" spans="1:168" s="204" customFormat="1" ht="22.5" customHeight="1" thickBot="1" x14ac:dyDescent="0.3">
      <c r="A16" s="205">
        <v>4</v>
      </c>
      <c r="B16" s="206" t="s">
        <v>538</v>
      </c>
      <c r="C16" s="207">
        <v>15</v>
      </c>
      <c r="D16" s="207">
        <v>55</v>
      </c>
      <c r="E16" s="252"/>
      <c r="F16" s="253">
        <f t="shared" si="67"/>
        <v>0</v>
      </c>
      <c r="G16" s="207">
        <v>7</v>
      </c>
      <c r="H16" s="207">
        <v>39</v>
      </c>
      <c r="I16" s="207">
        <v>4</v>
      </c>
      <c r="J16" s="208">
        <f t="shared" si="56"/>
        <v>0.5714285714285714</v>
      </c>
      <c r="K16" s="207">
        <v>1</v>
      </c>
      <c r="L16" s="208">
        <f t="shared" si="68"/>
        <v>0.33333333333333331</v>
      </c>
      <c r="M16" s="207">
        <v>3</v>
      </c>
      <c r="N16" s="208">
        <f t="shared" si="57"/>
        <v>0.42857142857142855</v>
      </c>
      <c r="O16" s="209">
        <v>0</v>
      </c>
      <c r="P16" s="208">
        <f t="shared" si="80"/>
        <v>0</v>
      </c>
      <c r="Q16" s="207">
        <v>0</v>
      </c>
      <c r="R16" s="208">
        <f t="shared" si="58"/>
        <v>0</v>
      </c>
      <c r="S16" s="207">
        <v>5</v>
      </c>
      <c r="T16" s="208">
        <f t="shared" si="59"/>
        <v>0.7142857142857143</v>
      </c>
      <c r="U16" s="207">
        <v>0</v>
      </c>
      <c r="V16" s="210">
        <f t="shared" si="60"/>
        <v>0</v>
      </c>
      <c r="W16" s="211">
        <v>4</v>
      </c>
      <c r="X16" s="339" t="str">
        <f t="shared" si="81"/>
        <v>KOU04</v>
      </c>
      <c r="Y16" s="212">
        <v>2</v>
      </c>
      <c r="Z16" s="212">
        <v>1</v>
      </c>
      <c r="AA16" s="212">
        <v>1</v>
      </c>
      <c r="AB16" s="212">
        <v>1</v>
      </c>
      <c r="AC16" s="212">
        <v>1</v>
      </c>
      <c r="AD16" s="212">
        <v>1</v>
      </c>
      <c r="AE16" s="212">
        <v>1</v>
      </c>
      <c r="AF16" s="212">
        <v>1</v>
      </c>
      <c r="AG16" s="213">
        <v>1</v>
      </c>
      <c r="AH16" s="188"/>
      <c r="AI16" s="211">
        <v>4</v>
      </c>
      <c r="AJ16" s="339" t="str">
        <f t="shared" si="69"/>
        <v>KOU04</v>
      </c>
      <c r="AK16" s="212">
        <v>2</v>
      </c>
      <c r="AL16" s="212" t="s">
        <v>537</v>
      </c>
      <c r="AM16" s="212" t="s">
        <v>537</v>
      </c>
      <c r="AN16" s="214" t="e">
        <f t="shared" ref="AN16:AN27" si="87">+AM16/AL16</f>
        <v>#VALUE!</v>
      </c>
      <c r="AO16" s="215" t="e">
        <f t="shared" si="61"/>
        <v>#VALUE!</v>
      </c>
      <c r="AP16" s="340" t="str">
        <f t="shared" si="70"/>
        <v>KOU04</v>
      </c>
      <c r="AQ16" s="212">
        <v>1</v>
      </c>
      <c r="AR16" s="212">
        <v>2</v>
      </c>
      <c r="AS16" s="212">
        <v>1</v>
      </c>
      <c r="AT16" s="212">
        <v>3</v>
      </c>
      <c r="AU16" s="212">
        <v>1</v>
      </c>
      <c r="AV16" s="223">
        <v>0.5</v>
      </c>
      <c r="AW16" s="213" t="s">
        <v>170</v>
      </c>
      <c r="AX16" s="188"/>
      <c r="AY16" s="211">
        <v>4</v>
      </c>
      <c r="AZ16" s="339" t="str">
        <f t="shared" si="71"/>
        <v>KOU04</v>
      </c>
      <c r="BA16" s="212">
        <v>5</v>
      </c>
      <c r="BB16" s="212">
        <v>4</v>
      </c>
      <c r="BC16" s="212">
        <v>1</v>
      </c>
      <c r="BD16" s="212">
        <v>5</v>
      </c>
      <c r="BE16" s="214">
        <f t="shared" si="72"/>
        <v>5</v>
      </c>
      <c r="BF16" s="215">
        <f t="shared" si="62"/>
        <v>1</v>
      </c>
      <c r="BG16" s="341" t="str">
        <f t="shared" si="63"/>
        <v>KOU04</v>
      </c>
      <c r="BH16" s="212">
        <v>1</v>
      </c>
      <c r="BI16" s="212" t="s">
        <v>539</v>
      </c>
      <c r="BJ16" s="212">
        <v>3</v>
      </c>
      <c r="BK16" s="212">
        <v>1</v>
      </c>
      <c r="BL16" s="212"/>
      <c r="BM16" s="212">
        <v>1</v>
      </c>
      <c r="BN16" s="223">
        <f>3/5</f>
        <v>0.6</v>
      </c>
      <c r="BO16" s="212"/>
      <c r="BP16" s="213"/>
      <c r="BQ16" s="188"/>
      <c r="BR16" s="205">
        <v>4</v>
      </c>
      <c r="BS16" s="342" t="str">
        <f t="shared" si="73"/>
        <v>KOU04</v>
      </c>
      <c r="BT16" s="207">
        <v>2</v>
      </c>
      <c r="BU16" s="275"/>
      <c r="BV16" s="207">
        <v>0</v>
      </c>
      <c r="BW16" s="207" t="s">
        <v>170</v>
      </c>
      <c r="BX16" s="216" t="s">
        <v>170</v>
      </c>
      <c r="BY16" s="208" t="s">
        <v>170</v>
      </c>
      <c r="BZ16" s="342" t="str">
        <f t="shared" si="64"/>
        <v>KOU04</v>
      </c>
      <c r="CA16" s="207"/>
      <c r="CB16" s="207" t="s">
        <v>170</v>
      </c>
      <c r="CC16" s="207" t="s">
        <v>170</v>
      </c>
      <c r="CD16" s="207" t="s">
        <v>170</v>
      </c>
      <c r="CE16" s="207" t="s">
        <v>170</v>
      </c>
      <c r="CF16" s="217" t="s">
        <v>170</v>
      </c>
      <c r="CG16" s="195"/>
      <c r="CH16" s="205">
        <v>4</v>
      </c>
      <c r="CI16" s="207" t="str">
        <f t="shared" si="74"/>
        <v>KOU04</v>
      </c>
      <c r="CJ16" s="207">
        <v>3</v>
      </c>
      <c r="CK16" s="207" t="s">
        <v>530</v>
      </c>
      <c r="CL16" s="343" t="str">
        <f t="shared" si="75"/>
        <v>KOU04</v>
      </c>
      <c r="CM16" s="207">
        <v>1000</v>
      </c>
      <c r="CN16" s="207">
        <v>200</v>
      </c>
      <c r="CO16" s="207">
        <v>0</v>
      </c>
      <c r="CP16" s="210">
        <f t="shared" si="65"/>
        <v>0</v>
      </c>
      <c r="CQ16" s="196"/>
      <c r="CR16" s="205">
        <v>4</v>
      </c>
      <c r="CS16" s="344" t="str">
        <f t="shared" si="82"/>
        <v>KOU04</v>
      </c>
      <c r="CT16" s="218"/>
      <c r="CU16" s="218">
        <v>1</v>
      </c>
      <c r="CV16" s="218"/>
      <c r="CW16" s="218"/>
      <c r="CX16" s="218"/>
      <c r="CY16" s="218"/>
      <c r="CZ16" s="218">
        <v>1</v>
      </c>
      <c r="DA16" s="218">
        <v>1</v>
      </c>
      <c r="DB16" s="218"/>
      <c r="DC16" s="219"/>
      <c r="DD16" s="188"/>
      <c r="DE16" s="205">
        <v>4</v>
      </c>
      <c r="DF16" s="344" t="str">
        <f t="shared" si="76"/>
        <v>KOU04</v>
      </c>
      <c r="DG16" s="207" t="s">
        <v>530</v>
      </c>
      <c r="DH16" s="207">
        <v>1</v>
      </c>
      <c r="DI16" s="207"/>
      <c r="DJ16" s="207"/>
      <c r="DK16" s="207"/>
      <c r="DL16" s="344" t="str">
        <f t="shared" si="66"/>
        <v>KOU04</v>
      </c>
      <c r="DM16" s="207"/>
      <c r="DN16" s="220"/>
      <c r="DO16" s="207"/>
      <c r="DP16" s="207"/>
      <c r="DQ16" s="222"/>
      <c r="DR16" s="217"/>
      <c r="DS16" s="188"/>
      <c r="DT16" s="205">
        <v>4</v>
      </c>
      <c r="DU16" s="337" t="str">
        <f t="shared" si="83"/>
        <v>KOU04</v>
      </c>
      <c r="DV16" s="212">
        <v>4</v>
      </c>
      <c r="DW16" s="212"/>
      <c r="DX16" s="212"/>
      <c r="DY16" s="188"/>
      <c r="DZ16" s="205">
        <v>4</v>
      </c>
      <c r="EA16" s="344" t="str">
        <f t="shared" si="77"/>
        <v>KOU04</v>
      </c>
      <c r="EB16" s="207"/>
      <c r="EC16" s="207"/>
      <c r="ED16" s="220" t="e">
        <f t="shared" si="84"/>
        <v>#DIV/0!</v>
      </c>
      <c r="EE16" s="207"/>
      <c r="EF16" s="220" t="e">
        <f t="shared" si="85"/>
        <v>#DIV/0!</v>
      </c>
      <c r="EG16" s="207"/>
      <c r="EH16" s="207"/>
      <c r="EI16" s="207"/>
      <c r="EJ16" s="207"/>
      <c r="EK16" s="207"/>
      <c r="EL16" s="207"/>
      <c r="EM16" s="207"/>
      <c r="EN16" s="207"/>
      <c r="EO16" s="207"/>
      <c r="EP16" s="217">
        <v>10.4275</v>
      </c>
      <c r="EQ16" s="288">
        <v>0</v>
      </c>
      <c r="ER16" s="289">
        <f t="shared" si="86"/>
        <v>0</v>
      </c>
      <c r="ES16" s="188"/>
      <c r="ET16" s="201"/>
      <c r="EU16" s="338" t="str">
        <f t="shared" ref="EU16:EU27" si="88">EA16</f>
        <v>KOU04</v>
      </c>
      <c r="EV16" s="207"/>
      <c r="EW16" s="207"/>
      <c r="EX16" s="207"/>
      <c r="EY16" s="207"/>
      <c r="EZ16" s="207"/>
      <c r="FA16" s="207"/>
      <c r="FB16" s="202" t="e">
        <f t="shared" si="78"/>
        <v>#DIV/0!</v>
      </c>
      <c r="FC16" s="207"/>
      <c r="FD16" s="207"/>
      <c r="FE16" s="205">
        <v>4</v>
      </c>
      <c r="FF16" s="337" t="str">
        <f t="shared" si="79"/>
        <v>KOU04</v>
      </c>
      <c r="FG16" s="207">
        <v>0</v>
      </c>
      <c r="FH16" s="222">
        <v>0</v>
      </c>
      <c r="FI16" s="222">
        <v>0</v>
      </c>
      <c r="FJ16" s="222">
        <v>0</v>
      </c>
      <c r="FK16" s="217">
        <v>1</v>
      </c>
      <c r="FL16" s="217"/>
    </row>
    <row r="17" spans="1:168" s="204" customFormat="1" ht="22.5" customHeight="1" thickBot="1" x14ac:dyDescent="0.3">
      <c r="A17" s="205">
        <v>5</v>
      </c>
      <c r="B17" s="206" t="s">
        <v>540</v>
      </c>
      <c r="C17" s="207">
        <v>24</v>
      </c>
      <c r="D17" s="207">
        <v>51</v>
      </c>
      <c r="E17" s="252">
        <v>1</v>
      </c>
      <c r="F17" s="253">
        <f t="shared" si="67"/>
        <v>1.9607843137254902E-2</v>
      </c>
      <c r="G17" s="207">
        <v>11</v>
      </c>
      <c r="H17" s="207">
        <v>40</v>
      </c>
      <c r="I17" s="207">
        <v>5</v>
      </c>
      <c r="J17" s="208">
        <f t="shared" si="56"/>
        <v>0.45454545454545453</v>
      </c>
      <c r="K17" s="207">
        <v>3</v>
      </c>
      <c r="L17" s="208">
        <f t="shared" si="68"/>
        <v>1</v>
      </c>
      <c r="M17" s="207">
        <v>4</v>
      </c>
      <c r="N17" s="208">
        <f t="shared" si="57"/>
        <v>0.36363636363636365</v>
      </c>
      <c r="O17" s="209">
        <v>1</v>
      </c>
      <c r="P17" s="208">
        <f t="shared" si="80"/>
        <v>0.33333333333333331</v>
      </c>
      <c r="Q17" s="207">
        <v>0</v>
      </c>
      <c r="R17" s="208">
        <f t="shared" si="58"/>
        <v>0</v>
      </c>
      <c r="S17" s="207">
        <v>3</v>
      </c>
      <c r="T17" s="208">
        <f t="shared" si="59"/>
        <v>0.27272727272727271</v>
      </c>
      <c r="U17" s="207">
        <v>0</v>
      </c>
      <c r="V17" s="210">
        <f t="shared" si="60"/>
        <v>0</v>
      </c>
      <c r="W17" s="211">
        <v>5</v>
      </c>
      <c r="X17" s="339" t="str">
        <f t="shared" si="81"/>
        <v>KOU05</v>
      </c>
      <c r="Y17" s="212">
        <v>2</v>
      </c>
      <c r="Z17" s="212">
        <v>1</v>
      </c>
      <c r="AA17" s="212">
        <v>1</v>
      </c>
      <c r="AB17" s="212">
        <v>2</v>
      </c>
      <c r="AC17" s="212">
        <v>1</v>
      </c>
      <c r="AD17" s="212">
        <v>1</v>
      </c>
      <c r="AE17" s="212">
        <v>2</v>
      </c>
      <c r="AF17" s="212">
        <v>1</v>
      </c>
      <c r="AG17" s="213">
        <v>1</v>
      </c>
      <c r="AH17" s="188"/>
      <c r="AI17" s="211">
        <v>5</v>
      </c>
      <c r="AJ17" s="339" t="str">
        <f t="shared" si="69"/>
        <v>KOU05</v>
      </c>
      <c r="AK17" s="212">
        <v>2</v>
      </c>
      <c r="AL17" s="212">
        <v>1</v>
      </c>
      <c r="AM17" s="212">
        <v>47</v>
      </c>
      <c r="AN17" s="214">
        <f t="shared" si="87"/>
        <v>47</v>
      </c>
      <c r="AO17" s="215">
        <f t="shared" si="61"/>
        <v>0.92156862745098034</v>
      </c>
      <c r="AP17" s="340" t="str">
        <f t="shared" si="70"/>
        <v>KOU05</v>
      </c>
      <c r="AQ17" s="212">
        <v>1</v>
      </c>
      <c r="AR17" s="212">
        <v>3</v>
      </c>
      <c r="AS17" s="212">
        <v>1</v>
      </c>
      <c r="AT17" s="212">
        <v>2</v>
      </c>
      <c r="AU17" s="212">
        <v>1</v>
      </c>
      <c r="AV17" s="223">
        <v>0.5</v>
      </c>
      <c r="AW17" s="213">
        <v>3</v>
      </c>
      <c r="AX17" s="188"/>
      <c r="AY17" s="211">
        <v>5</v>
      </c>
      <c r="AZ17" s="339" t="str">
        <f t="shared" si="71"/>
        <v>KOU05</v>
      </c>
      <c r="BA17" s="212">
        <v>9</v>
      </c>
      <c r="BB17" s="212">
        <v>0</v>
      </c>
      <c r="BC17" s="212">
        <v>0</v>
      </c>
      <c r="BD17" s="212" t="s">
        <v>170</v>
      </c>
      <c r="BE17" s="224" t="e">
        <f t="shared" si="72"/>
        <v>#VALUE!</v>
      </c>
      <c r="BF17" s="215" t="e">
        <f t="shared" si="62"/>
        <v>#VALUE!</v>
      </c>
      <c r="BG17" s="341" t="str">
        <f t="shared" si="63"/>
        <v>KOU05</v>
      </c>
      <c r="BH17" s="212">
        <v>1</v>
      </c>
      <c r="BI17" s="212" t="s">
        <v>170</v>
      </c>
      <c r="BJ17" s="212" t="s">
        <v>170</v>
      </c>
      <c r="BK17" s="212" t="s">
        <v>170</v>
      </c>
      <c r="BL17" s="212" t="s">
        <v>170</v>
      </c>
      <c r="BM17" s="212" t="s">
        <v>170</v>
      </c>
      <c r="BN17" s="212" t="s">
        <v>170</v>
      </c>
      <c r="BO17" s="212" t="s">
        <v>170</v>
      </c>
      <c r="BP17" s="213" t="s">
        <v>170</v>
      </c>
      <c r="BQ17" s="188"/>
      <c r="BR17" s="205">
        <v>5</v>
      </c>
      <c r="BS17" s="342" t="str">
        <f t="shared" si="73"/>
        <v>KOU05</v>
      </c>
      <c r="BT17" s="207">
        <v>2</v>
      </c>
      <c r="BU17" s="275"/>
      <c r="BV17" s="207">
        <v>0</v>
      </c>
      <c r="BW17" s="207" t="s">
        <v>170</v>
      </c>
      <c r="BX17" s="216" t="s">
        <v>170</v>
      </c>
      <c r="BY17" s="208" t="s">
        <v>170</v>
      </c>
      <c r="BZ17" s="342" t="str">
        <f t="shared" si="64"/>
        <v>KOU05</v>
      </c>
      <c r="CA17" s="207">
        <v>1</v>
      </c>
      <c r="CB17" s="207" t="s">
        <v>170</v>
      </c>
      <c r="CC17" s="207" t="s">
        <v>170</v>
      </c>
      <c r="CD17" s="207" t="s">
        <v>170</v>
      </c>
      <c r="CE17" s="207" t="s">
        <v>170</v>
      </c>
      <c r="CF17" s="217" t="s">
        <v>170</v>
      </c>
      <c r="CG17" s="195"/>
      <c r="CH17" s="205">
        <v>5</v>
      </c>
      <c r="CI17" s="207" t="str">
        <f t="shared" si="74"/>
        <v>KOU05</v>
      </c>
      <c r="CJ17" s="207">
        <v>3</v>
      </c>
      <c r="CK17" s="207" t="s">
        <v>530</v>
      </c>
      <c r="CL17" s="343" t="str">
        <f t="shared" si="75"/>
        <v>KOU05</v>
      </c>
      <c r="CM17" s="207">
        <v>1500</v>
      </c>
      <c r="CN17" s="207">
        <v>1000</v>
      </c>
      <c r="CO17" s="207">
        <v>48</v>
      </c>
      <c r="CP17" s="210">
        <f t="shared" si="65"/>
        <v>0.94117647058823528</v>
      </c>
      <c r="CQ17" s="196"/>
      <c r="CR17" s="205">
        <v>5</v>
      </c>
      <c r="CS17" s="344" t="str">
        <f t="shared" si="82"/>
        <v>KOU05</v>
      </c>
      <c r="CT17" s="218"/>
      <c r="CU17" s="218">
        <v>1</v>
      </c>
      <c r="CV17" s="218"/>
      <c r="CW17" s="218"/>
      <c r="CX17" s="218"/>
      <c r="CY17" s="218"/>
      <c r="CZ17" s="218"/>
      <c r="DA17" s="218"/>
      <c r="DB17" s="218"/>
      <c r="DC17" s="219"/>
      <c r="DD17" s="188"/>
      <c r="DE17" s="205">
        <v>5</v>
      </c>
      <c r="DF17" s="344" t="str">
        <f t="shared" si="76"/>
        <v>KOU05</v>
      </c>
      <c r="DG17" s="207" t="s">
        <v>541</v>
      </c>
      <c r="DH17" s="207">
        <v>1</v>
      </c>
      <c r="DI17" s="207"/>
      <c r="DJ17" s="207"/>
      <c r="DK17" s="225"/>
      <c r="DL17" s="344" t="str">
        <f t="shared" si="66"/>
        <v>KOU05</v>
      </c>
      <c r="DM17" s="207"/>
      <c r="DN17" s="220">
        <f>DM17/D17</f>
        <v>0</v>
      </c>
      <c r="DO17" s="207"/>
      <c r="DP17" s="207"/>
      <c r="DQ17" s="222"/>
      <c r="DR17" s="217"/>
      <c r="DS17" s="188"/>
      <c r="DT17" s="205">
        <v>5</v>
      </c>
      <c r="DU17" s="337" t="str">
        <f t="shared" si="83"/>
        <v>KOU05</v>
      </c>
      <c r="DV17" s="212">
        <v>2</v>
      </c>
      <c r="DW17" s="221">
        <v>11</v>
      </c>
      <c r="DX17" s="221">
        <v>1</v>
      </c>
      <c r="DY17" s="188"/>
      <c r="DZ17" s="205">
        <v>5</v>
      </c>
      <c r="EA17" s="344" t="str">
        <f t="shared" si="77"/>
        <v>KOU05</v>
      </c>
      <c r="EB17" s="207"/>
      <c r="EC17" s="207">
        <v>25.4</v>
      </c>
      <c r="ED17" s="220" t="e">
        <f t="shared" si="84"/>
        <v>#DIV/0!</v>
      </c>
      <c r="EE17" s="207">
        <v>25.4</v>
      </c>
      <c r="EF17" s="220" t="e">
        <f t="shared" si="85"/>
        <v>#DIV/0!</v>
      </c>
      <c r="EG17" s="207">
        <v>6.0960000000000001</v>
      </c>
      <c r="EH17" s="207"/>
      <c r="EI17" s="207"/>
      <c r="EJ17" s="207"/>
      <c r="EK17" s="207"/>
      <c r="EL17" s="207"/>
      <c r="EM17" s="207"/>
      <c r="EN17" s="207"/>
      <c r="EO17" s="207"/>
      <c r="EP17" s="217">
        <v>8.8604000000000003</v>
      </c>
      <c r="EQ17" s="288">
        <v>0</v>
      </c>
      <c r="ER17" s="289">
        <f t="shared" si="86"/>
        <v>0</v>
      </c>
      <c r="ES17" s="188"/>
      <c r="ET17" s="201"/>
      <c r="EU17" s="338" t="str">
        <f t="shared" si="88"/>
        <v>KOU05</v>
      </c>
      <c r="EV17" s="207"/>
      <c r="EW17" s="207"/>
      <c r="EX17" s="207"/>
      <c r="EY17" s="207"/>
      <c r="EZ17" s="207"/>
      <c r="FA17" s="207"/>
      <c r="FB17" s="202" t="e">
        <f t="shared" si="78"/>
        <v>#DIV/0!</v>
      </c>
      <c r="FC17" s="207"/>
      <c r="FD17" s="207"/>
      <c r="FE17" s="205">
        <v>5</v>
      </c>
      <c r="FF17" s="337" t="str">
        <f t="shared" si="79"/>
        <v>KOU05</v>
      </c>
      <c r="FG17" s="207">
        <v>1</v>
      </c>
      <c r="FH17" s="222">
        <v>30</v>
      </c>
      <c r="FI17" s="222">
        <v>30</v>
      </c>
      <c r="FJ17" s="222">
        <v>0</v>
      </c>
      <c r="FK17" s="217">
        <v>1</v>
      </c>
      <c r="FL17" s="217"/>
    </row>
    <row r="18" spans="1:168" s="204" customFormat="1" ht="22.5" customHeight="1" thickBot="1" x14ac:dyDescent="0.3">
      <c r="A18" s="205">
        <v>6</v>
      </c>
      <c r="B18" s="206" t="s">
        <v>542</v>
      </c>
      <c r="C18" s="207">
        <v>9</v>
      </c>
      <c r="D18" s="207">
        <v>48</v>
      </c>
      <c r="E18" s="252">
        <v>3</v>
      </c>
      <c r="F18" s="253">
        <f t="shared" si="67"/>
        <v>6.25E-2</v>
      </c>
      <c r="G18" s="207">
        <v>11</v>
      </c>
      <c r="H18" s="207">
        <v>42</v>
      </c>
      <c r="I18" s="207">
        <v>5</v>
      </c>
      <c r="J18" s="208">
        <f t="shared" si="56"/>
        <v>0.45454545454545453</v>
      </c>
      <c r="K18" s="207">
        <v>2</v>
      </c>
      <c r="L18" s="208">
        <f t="shared" si="68"/>
        <v>0.66666666666666663</v>
      </c>
      <c r="M18" s="207">
        <v>4</v>
      </c>
      <c r="N18" s="208">
        <f t="shared" si="57"/>
        <v>0.36363636363636365</v>
      </c>
      <c r="O18" s="209">
        <v>2</v>
      </c>
      <c r="P18" s="208">
        <f t="shared" si="80"/>
        <v>0.66666666666666663</v>
      </c>
      <c r="Q18" s="207">
        <v>0</v>
      </c>
      <c r="R18" s="208">
        <f t="shared" si="58"/>
        <v>0</v>
      </c>
      <c r="S18" s="207">
        <v>3</v>
      </c>
      <c r="T18" s="208">
        <f t="shared" si="59"/>
        <v>0.27272727272727271</v>
      </c>
      <c r="U18" s="207">
        <v>0</v>
      </c>
      <c r="V18" s="210">
        <f t="shared" si="60"/>
        <v>0</v>
      </c>
      <c r="W18" s="211">
        <v>6</v>
      </c>
      <c r="X18" s="339" t="str">
        <f t="shared" si="81"/>
        <v>KOU06</v>
      </c>
      <c r="Y18" s="212">
        <v>2</v>
      </c>
      <c r="Z18" s="212">
        <v>1</v>
      </c>
      <c r="AA18" s="212">
        <v>1</v>
      </c>
      <c r="AB18" s="212">
        <v>1</v>
      </c>
      <c r="AC18" s="212">
        <v>1</v>
      </c>
      <c r="AD18" s="212">
        <v>1</v>
      </c>
      <c r="AE18" s="212">
        <v>1</v>
      </c>
      <c r="AF18" s="212">
        <v>1</v>
      </c>
      <c r="AG18" s="213">
        <v>1</v>
      </c>
      <c r="AH18" s="188"/>
      <c r="AI18" s="211">
        <v>6</v>
      </c>
      <c r="AJ18" s="339" t="str">
        <f t="shared" si="69"/>
        <v>KOU06</v>
      </c>
      <c r="AK18" s="212">
        <v>2</v>
      </c>
      <c r="AL18" s="212">
        <v>1</v>
      </c>
      <c r="AM18" s="212">
        <v>52</v>
      </c>
      <c r="AN18" s="214">
        <f t="shared" si="87"/>
        <v>52</v>
      </c>
      <c r="AO18" s="215">
        <f t="shared" si="61"/>
        <v>1.0833333333333333</v>
      </c>
      <c r="AP18" s="340" t="str">
        <f t="shared" si="70"/>
        <v>KOU06</v>
      </c>
      <c r="AQ18" s="212">
        <v>1</v>
      </c>
      <c r="AR18" s="212">
        <v>2</v>
      </c>
      <c r="AS18" s="212">
        <v>1</v>
      </c>
      <c r="AT18" s="212">
        <v>3</v>
      </c>
      <c r="AU18" s="212">
        <v>1</v>
      </c>
      <c r="AV18" s="223">
        <v>0.5</v>
      </c>
      <c r="AW18" s="213" t="s">
        <v>170</v>
      </c>
      <c r="AX18" s="188"/>
      <c r="AY18" s="211">
        <v>6</v>
      </c>
      <c r="AZ18" s="339" t="str">
        <f t="shared" si="71"/>
        <v>KOU06</v>
      </c>
      <c r="BA18" s="212">
        <v>9</v>
      </c>
      <c r="BB18" s="212">
        <v>3</v>
      </c>
      <c r="BC18" s="212">
        <v>1</v>
      </c>
      <c r="BD18" s="212">
        <v>5</v>
      </c>
      <c r="BE18" s="224">
        <f t="shared" si="72"/>
        <v>5</v>
      </c>
      <c r="BF18" s="215">
        <f t="shared" si="62"/>
        <v>0.55555555555555558</v>
      </c>
      <c r="BG18" s="341" t="str">
        <f t="shared" si="63"/>
        <v>KOU06</v>
      </c>
      <c r="BH18" s="212">
        <v>1</v>
      </c>
      <c r="BI18" s="212">
        <v>3</v>
      </c>
      <c r="BJ18" s="212">
        <v>3</v>
      </c>
      <c r="BK18" s="212">
        <v>1</v>
      </c>
      <c r="BL18" s="212">
        <v>3</v>
      </c>
      <c r="BM18" s="212">
        <v>1</v>
      </c>
      <c r="BN18" s="223">
        <f>5/9</f>
        <v>0.55555555555555558</v>
      </c>
      <c r="BO18" s="212">
        <v>3</v>
      </c>
      <c r="BP18" s="213">
        <v>1</v>
      </c>
      <c r="BQ18" s="188"/>
      <c r="BR18" s="205">
        <v>6</v>
      </c>
      <c r="BS18" s="342" t="str">
        <f t="shared" si="73"/>
        <v>KOU06</v>
      </c>
      <c r="BT18" s="207">
        <v>2</v>
      </c>
      <c r="BU18" s="275"/>
      <c r="BV18" s="207">
        <v>0</v>
      </c>
      <c r="BW18" s="207" t="s">
        <v>170</v>
      </c>
      <c r="BX18" s="216" t="s">
        <v>170</v>
      </c>
      <c r="BY18" s="208" t="s">
        <v>170</v>
      </c>
      <c r="BZ18" s="342" t="str">
        <f t="shared" si="64"/>
        <v>KOU06</v>
      </c>
      <c r="CA18" s="207">
        <v>1</v>
      </c>
      <c r="CB18" s="207" t="s">
        <v>170</v>
      </c>
      <c r="CC18" s="207" t="s">
        <v>170</v>
      </c>
      <c r="CD18" s="207" t="s">
        <v>170</v>
      </c>
      <c r="CE18" s="207" t="s">
        <v>170</v>
      </c>
      <c r="CF18" s="217" t="s">
        <v>170</v>
      </c>
      <c r="CG18" s="195"/>
      <c r="CH18" s="205">
        <v>6</v>
      </c>
      <c r="CI18" s="207" t="str">
        <f t="shared" si="74"/>
        <v>KOU06</v>
      </c>
      <c r="CJ18" s="207">
        <v>3</v>
      </c>
      <c r="CK18" s="207" t="s">
        <v>530</v>
      </c>
      <c r="CL18" s="343" t="str">
        <f t="shared" si="75"/>
        <v>KOU06</v>
      </c>
      <c r="CM18" s="207">
        <v>1200</v>
      </c>
      <c r="CN18" s="207">
        <v>2000</v>
      </c>
      <c r="CO18" s="207">
        <v>48</v>
      </c>
      <c r="CP18" s="210">
        <f t="shared" si="65"/>
        <v>1</v>
      </c>
      <c r="CQ18" s="196"/>
      <c r="CR18" s="205">
        <v>6</v>
      </c>
      <c r="CS18" s="344" t="str">
        <f t="shared" si="82"/>
        <v>KOU06</v>
      </c>
      <c r="CT18" s="218"/>
      <c r="CU18" s="218"/>
      <c r="CV18" s="218"/>
      <c r="CW18" s="218"/>
      <c r="CX18" s="218"/>
      <c r="CY18" s="218"/>
      <c r="CZ18" s="218">
        <v>1</v>
      </c>
      <c r="DA18" s="218"/>
      <c r="DB18" s="218"/>
      <c r="DC18" s="219"/>
      <c r="DD18" s="188"/>
      <c r="DE18" s="205">
        <v>6</v>
      </c>
      <c r="DF18" s="344" t="str">
        <f t="shared" si="76"/>
        <v>KOU06</v>
      </c>
      <c r="DG18" s="207">
        <v>1</v>
      </c>
      <c r="DH18" s="207">
        <v>1</v>
      </c>
      <c r="DI18" s="207"/>
      <c r="DJ18" s="207"/>
      <c r="DK18" s="207"/>
      <c r="DL18" s="344" t="str">
        <f t="shared" si="66"/>
        <v>KOU06</v>
      </c>
      <c r="DM18" s="207"/>
      <c r="DN18" s="220">
        <f>DM18/D18</f>
        <v>0</v>
      </c>
      <c r="DO18" s="207"/>
      <c r="DP18" s="207"/>
      <c r="DQ18" s="222"/>
      <c r="DR18" s="217"/>
      <c r="DS18" s="188"/>
      <c r="DT18" s="205">
        <v>6</v>
      </c>
      <c r="DU18" s="337" t="str">
        <f t="shared" si="83"/>
        <v>KOU06</v>
      </c>
      <c r="DV18" s="212">
        <v>3</v>
      </c>
      <c r="DW18" s="212">
        <v>0</v>
      </c>
      <c r="DX18" s="212">
        <v>0</v>
      </c>
      <c r="DY18" s="188"/>
      <c r="DZ18" s="205">
        <v>6</v>
      </c>
      <c r="EA18" s="344" t="str">
        <f t="shared" si="77"/>
        <v>KOU06</v>
      </c>
      <c r="EB18" s="207">
        <v>473</v>
      </c>
      <c r="EC18" s="207">
        <v>473</v>
      </c>
      <c r="ED18" s="220">
        <f t="shared" si="84"/>
        <v>1</v>
      </c>
      <c r="EE18" s="207">
        <v>348</v>
      </c>
      <c r="EF18" s="220">
        <f t="shared" si="85"/>
        <v>0.73572938689217759</v>
      </c>
      <c r="EG18" s="207"/>
      <c r="EH18" s="207"/>
      <c r="EI18" s="207"/>
      <c r="EJ18" s="207"/>
      <c r="EK18" s="207"/>
      <c r="EL18" s="207"/>
      <c r="EM18" s="207"/>
      <c r="EN18" s="207"/>
      <c r="EO18" s="207"/>
      <c r="EP18" s="217">
        <v>8.7563999999999993</v>
      </c>
      <c r="EQ18" s="288">
        <v>0</v>
      </c>
      <c r="ER18" s="289"/>
      <c r="ES18" s="188"/>
      <c r="ET18" s="201"/>
      <c r="EU18" s="338" t="str">
        <f t="shared" si="88"/>
        <v>KOU06</v>
      </c>
      <c r="EV18" s="207"/>
      <c r="EW18" s="207"/>
      <c r="EX18" s="207"/>
      <c r="EY18" s="207"/>
      <c r="EZ18" s="207"/>
      <c r="FA18" s="207"/>
      <c r="FB18" s="202" t="e">
        <f t="shared" si="78"/>
        <v>#DIV/0!</v>
      </c>
      <c r="FC18" s="207"/>
      <c r="FD18" s="207"/>
      <c r="FE18" s="205">
        <v>6</v>
      </c>
      <c r="FF18" s="337" t="str">
        <f t="shared" si="79"/>
        <v>KOU06</v>
      </c>
      <c r="FG18" s="207">
        <v>1</v>
      </c>
      <c r="FH18" s="222">
        <v>6</v>
      </c>
      <c r="FI18" s="222">
        <v>1</v>
      </c>
      <c r="FJ18" s="222">
        <v>0</v>
      </c>
      <c r="FK18" s="217">
        <v>2</v>
      </c>
      <c r="FL18" s="217"/>
    </row>
    <row r="19" spans="1:168" s="204" customFormat="1" ht="22.5" customHeight="1" thickBot="1" x14ac:dyDescent="0.3">
      <c r="A19" s="205">
        <v>7</v>
      </c>
      <c r="B19" s="206" t="s">
        <v>543</v>
      </c>
      <c r="C19" s="207">
        <v>27</v>
      </c>
      <c r="D19" s="207">
        <v>33</v>
      </c>
      <c r="E19" s="252">
        <v>1</v>
      </c>
      <c r="F19" s="253">
        <f t="shared" si="67"/>
        <v>3.0303030303030304E-2</v>
      </c>
      <c r="G19" s="207">
        <v>11</v>
      </c>
      <c r="H19" s="207">
        <v>34</v>
      </c>
      <c r="I19" s="207">
        <v>4</v>
      </c>
      <c r="J19" s="208">
        <f t="shared" si="56"/>
        <v>0.36363636363636365</v>
      </c>
      <c r="K19" s="207">
        <v>2</v>
      </c>
      <c r="L19" s="208">
        <f t="shared" si="68"/>
        <v>0.66666666666666663</v>
      </c>
      <c r="M19" s="207">
        <v>4</v>
      </c>
      <c r="N19" s="208">
        <f t="shared" si="57"/>
        <v>0.36363636363636365</v>
      </c>
      <c r="O19" s="209">
        <v>2</v>
      </c>
      <c r="P19" s="208">
        <f t="shared" si="80"/>
        <v>0.66666666666666663</v>
      </c>
      <c r="Q19" s="207">
        <v>0</v>
      </c>
      <c r="R19" s="208">
        <f t="shared" si="58"/>
        <v>0</v>
      </c>
      <c r="S19" s="207">
        <v>4</v>
      </c>
      <c r="T19" s="208">
        <f t="shared" si="59"/>
        <v>0.36363636363636365</v>
      </c>
      <c r="U19" s="207">
        <v>0</v>
      </c>
      <c r="V19" s="210">
        <f t="shared" si="60"/>
        <v>0</v>
      </c>
      <c r="W19" s="211">
        <v>7</v>
      </c>
      <c r="X19" s="339" t="str">
        <f t="shared" si="81"/>
        <v>KOU07</v>
      </c>
      <c r="Y19" s="212">
        <v>2</v>
      </c>
      <c r="Z19" s="212">
        <v>1</v>
      </c>
      <c r="AA19" s="212">
        <v>1</v>
      </c>
      <c r="AB19" s="212">
        <v>1</v>
      </c>
      <c r="AC19" s="212">
        <v>1</v>
      </c>
      <c r="AD19" s="212">
        <v>1</v>
      </c>
      <c r="AE19" s="212">
        <v>1</v>
      </c>
      <c r="AF19" s="212">
        <v>1</v>
      </c>
      <c r="AG19" s="213">
        <v>1</v>
      </c>
      <c r="AH19" s="188"/>
      <c r="AI19" s="211">
        <v>7</v>
      </c>
      <c r="AJ19" s="339" t="str">
        <f t="shared" si="69"/>
        <v>KOU07</v>
      </c>
      <c r="AK19" s="212">
        <v>2</v>
      </c>
      <c r="AL19" s="212">
        <v>2</v>
      </c>
      <c r="AM19" s="212">
        <f>15+9</f>
        <v>24</v>
      </c>
      <c r="AN19" s="214">
        <f t="shared" si="87"/>
        <v>12</v>
      </c>
      <c r="AO19" s="215">
        <f t="shared" si="61"/>
        <v>0.36363636363636365</v>
      </c>
      <c r="AP19" s="340" t="str">
        <f t="shared" si="70"/>
        <v>KOU07</v>
      </c>
      <c r="AQ19" s="212">
        <v>1</v>
      </c>
      <c r="AR19" s="212">
        <v>3</v>
      </c>
      <c r="AS19" s="212" t="s">
        <v>530</v>
      </c>
      <c r="AT19" s="212">
        <v>3</v>
      </c>
      <c r="AU19" s="212">
        <v>1</v>
      </c>
      <c r="AV19" s="223">
        <v>0.5</v>
      </c>
      <c r="AW19" s="213" t="s">
        <v>170</v>
      </c>
      <c r="AX19" s="188"/>
      <c r="AY19" s="211">
        <v>7</v>
      </c>
      <c r="AZ19" s="339" t="str">
        <f t="shared" si="71"/>
        <v>KOU07</v>
      </c>
      <c r="BA19" s="212">
        <v>7</v>
      </c>
      <c r="BB19" s="212">
        <v>0</v>
      </c>
      <c r="BC19" s="212">
        <v>1</v>
      </c>
      <c r="BD19" s="212">
        <v>10</v>
      </c>
      <c r="BE19" s="224">
        <f t="shared" si="72"/>
        <v>10</v>
      </c>
      <c r="BF19" s="215">
        <f t="shared" si="62"/>
        <v>1.4285714285714286</v>
      </c>
      <c r="BG19" s="341" t="str">
        <f t="shared" si="63"/>
        <v>KOU07</v>
      </c>
      <c r="BH19" s="212" t="s">
        <v>544</v>
      </c>
      <c r="BI19" s="212">
        <v>3</v>
      </c>
      <c r="BJ19" s="212">
        <v>3</v>
      </c>
      <c r="BK19" s="212">
        <v>1</v>
      </c>
      <c r="BL19" s="212">
        <v>3</v>
      </c>
      <c r="BM19" s="212">
        <v>1</v>
      </c>
      <c r="BN19" s="223">
        <v>1</v>
      </c>
      <c r="BO19" s="212" t="s">
        <v>170</v>
      </c>
      <c r="BP19" s="213">
        <v>2</v>
      </c>
      <c r="BQ19" s="188"/>
      <c r="BR19" s="205">
        <v>7</v>
      </c>
      <c r="BS19" s="342" t="str">
        <f t="shared" si="73"/>
        <v>KOU07</v>
      </c>
      <c r="BT19" s="207">
        <v>3</v>
      </c>
      <c r="BU19" s="275"/>
      <c r="BV19" s="207">
        <v>0</v>
      </c>
      <c r="BW19" s="207" t="s">
        <v>170</v>
      </c>
      <c r="BX19" s="216" t="s">
        <v>170</v>
      </c>
      <c r="BY19" s="208" t="s">
        <v>170</v>
      </c>
      <c r="BZ19" s="342" t="str">
        <f t="shared" si="64"/>
        <v>KOU07</v>
      </c>
      <c r="CA19" s="207">
        <v>1</v>
      </c>
      <c r="CB19" s="207" t="s">
        <v>170</v>
      </c>
      <c r="CC19" s="207" t="s">
        <v>170</v>
      </c>
      <c r="CD19" s="207" t="s">
        <v>170</v>
      </c>
      <c r="CE19" s="207" t="s">
        <v>170</v>
      </c>
      <c r="CF19" s="217" t="s">
        <v>170</v>
      </c>
      <c r="CG19" s="195"/>
      <c r="CH19" s="205">
        <v>7</v>
      </c>
      <c r="CI19" s="207" t="str">
        <f t="shared" si="74"/>
        <v>KOU07</v>
      </c>
      <c r="CJ19" s="207">
        <v>3</v>
      </c>
      <c r="CK19" s="207">
        <v>2</v>
      </c>
      <c r="CL19" s="343" t="str">
        <f t="shared" si="75"/>
        <v>KOU07</v>
      </c>
      <c r="CM19" s="207">
        <v>1500</v>
      </c>
      <c r="CN19" s="207"/>
      <c r="CO19" s="207"/>
      <c r="CP19" s="210">
        <f t="shared" si="65"/>
        <v>0</v>
      </c>
      <c r="CQ19" s="196"/>
      <c r="CR19" s="205">
        <v>7</v>
      </c>
      <c r="CS19" s="344" t="str">
        <f t="shared" si="82"/>
        <v>KOU07</v>
      </c>
      <c r="CT19" s="218"/>
      <c r="CU19" s="218"/>
      <c r="CV19" s="218"/>
      <c r="CW19" s="218"/>
      <c r="CX19" s="218"/>
      <c r="CY19" s="218"/>
      <c r="CZ19" s="218"/>
      <c r="DA19" s="218"/>
      <c r="DB19" s="218"/>
      <c r="DC19" s="219"/>
      <c r="DD19" s="188"/>
      <c r="DE19" s="205">
        <v>7</v>
      </c>
      <c r="DF19" s="344" t="str">
        <f t="shared" si="76"/>
        <v>KOU07</v>
      </c>
      <c r="DG19" s="207" t="s">
        <v>532</v>
      </c>
      <c r="DH19" s="207">
        <v>1</v>
      </c>
      <c r="DI19" s="207"/>
      <c r="DJ19" s="207"/>
      <c r="DK19" s="207"/>
      <c r="DL19" s="344" t="str">
        <f t="shared" si="66"/>
        <v>KOU07</v>
      </c>
      <c r="DM19" s="207"/>
      <c r="DN19" s="220"/>
      <c r="DO19" s="207"/>
      <c r="DP19" s="207"/>
      <c r="DQ19" s="222"/>
      <c r="DR19" s="217"/>
      <c r="DS19" s="188"/>
      <c r="DT19" s="205">
        <v>7</v>
      </c>
      <c r="DU19" s="337" t="str">
        <f t="shared" si="83"/>
        <v>KOU07</v>
      </c>
      <c r="DV19" s="212">
        <v>2</v>
      </c>
      <c r="DW19" s="212"/>
      <c r="DX19" s="212"/>
      <c r="DY19" s="188"/>
      <c r="DZ19" s="205">
        <v>7</v>
      </c>
      <c r="EA19" s="344" t="str">
        <f t="shared" si="77"/>
        <v>KOU07</v>
      </c>
      <c r="EB19" s="207"/>
      <c r="EC19" s="207"/>
      <c r="ED19" s="220" t="e">
        <f t="shared" si="84"/>
        <v>#DIV/0!</v>
      </c>
      <c r="EE19" s="207"/>
      <c r="EF19" s="220" t="e">
        <f t="shared" si="85"/>
        <v>#DIV/0!</v>
      </c>
      <c r="EG19" s="207"/>
      <c r="EH19" s="207"/>
      <c r="EI19" s="207"/>
      <c r="EJ19" s="207"/>
      <c r="EK19" s="207"/>
      <c r="EL19" s="207"/>
      <c r="EM19" s="207"/>
      <c r="EN19" s="207"/>
      <c r="EO19" s="207"/>
      <c r="EP19" s="217">
        <v>5.8475999999999999</v>
      </c>
      <c r="EQ19" s="288">
        <v>0</v>
      </c>
      <c r="ER19" s="289">
        <f t="shared" si="86"/>
        <v>0</v>
      </c>
      <c r="ES19" s="188"/>
      <c r="ET19" s="201"/>
      <c r="EU19" s="338" t="str">
        <f t="shared" si="88"/>
        <v>KOU07</v>
      </c>
      <c r="EV19" s="207"/>
      <c r="EW19" s="207"/>
      <c r="EX19" s="207"/>
      <c r="EY19" s="207"/>
      <c r="EZ19" s="207"/>
      <c r="FA19" s="207"/>
      <c r="FB19" s="202" t="e">
        <f t="shared" si="78"/>
        <v>#DIV/0!</v>
      </c>
      <c r="FC19" s="207"/>
      <c r="FD19" s="207"/>
      <c r="FE19" s="205">
        <v>7</v>
      </c>
      <c r="FF19" s="337" t="str">
        <f t="shared" si="79"/>
        <v>KOU07</v>
      </c>
      <c r="FG19" s="207">
        <v>0</v>
      </c>
      <c r="FH19" s="222">
        <v>0</v>
      </c>
      <c r="FI19" s="222">
        <v>0</v>
      </c>
      <c r="FJ19" s="222">
        <v>0</v>
      </c>
      <c r="FK19" s="217">
        <v>2</v>
      </c>
      <c r="FL19" s="217"/>
    </row>
    <row r="20" spans="1:168" s="204" customFormat="1" ht="22.5" customHeight="1" thickBot="1" x14ac:dyDescent="0.3">
      <c r="A20" s="205">
        <v>8</v>
      </c>
      <c r="B20" s="206" t="s">
        <v>545</v>
      </c>
      <c r="C20" s="207">
        <v>26</v>
      </c>
      <c r="D20" s="207">
        <v>36</v>
      </c>
      <c r="E20" s="252">
        <v>6</v>
      </c>
      <c r="F20" s="253">
        <f t="shared" si="67"/>
        <v>0.16666666666666666</v>
      </c>
      <c r="G20" s="207">
        <v>5</v>
      </c>
      <c r="H20" s="207">
        <v>44</v>
      </c>
      <c r="I20" s="207">
        <v>1</v>
      </c>
      <c r="J20" s="208">
        <f t="shared" si="56"/>
        <v>0.2</v>
      </c>
      <c r="K20" s="207">
        <v>1</v>
      </c>
      <c r="L20" s="208">
        <f t="shared" si="68"/>
        <v>0.33333333333333331</v>
      </c>
      <c r="M20" s="207">
        <v>2</v>
      </c>
      <c r="N20" s="208">
        <f t="shared" si="57"/>
        <v>0.4</v>
      </c>
      <c r="O20" s="209">
        <v>2</v>
      </c>
      <c r="P20" s="208">
        <f t="shared" si="80"/>
        <v>0.66666666666666663</v>
      </c>
      <c r="Q20" s="207">
        <v>0</v>
      </c>
      <c r="R20" s="208">
        <f t="shared" si="58"/>
        <v>0</v>
      </c>
      <c r="S20" s="207">
        <v>2</v>
      </c>
      <c r="T20" s="208">
        <f t="shared" si="59"/>
        <v>0.4</v>
      </c>
      <c r="U20" s="207">
        <v>0</v>
      </c>
      <c r="V20" s="210">
        <f t="shared" si="60"/>
        <v>0</v>
      </c>
      <c r="W20" s="211">
        <v>8</v>
      </c>
      <c r="X20" s="339" t="str">
        <f t="shared" si="81"/>
        <v>KOU08</v>
      </c>
      <c r="Y20" s="212">
        <v>2</v>
      </c>
      <c r="Z20" s="212">
        <v>1</v>
      </c>
      <c r="AA20" s="212">
        <v>1</v>
      </c>
      <c r="AB20" s="212">
        <v>1</v>
      </c>
      <c r="AC20" s="212">
        <v>1</v>
      </c>
      <c r="AD20" s="212"/>
      <c r="AE20" s="212">
        <v>1</v>
      </c>
      <c r="AF20" s="212">
        <v>1</v>
      </c>
      <c r="AG20" s="213">
        <v>1</v>
      </c>
      <c r="AH20" s="188"/>
      <c r="AI20" s="211">
        <v>8</v>
      </c>
      <c r="AJ20" s="339" t="str">
        <f t="shared" si="69"/>
        <v>KOU08</v>
      </c>
      <c r="AK20" s="212">
        <v>3</v>
      </c>
      <c r="AL20" s="212" t="s">
        <v>537</v>
      </c>
      <c r="AM20" s="212" t="s">
        <v>537</v>
      </c>
      <c r="AN20" s="214" t="e">
        <f t="shared" si="87"/>
        <v>#VALUE!</v>
      </c>
      <c r="AO20" s="215" t="e">
        <f t="shared" si="61"/>
        <v>#VALUE!</v>
      </c>
      <c r="AP20" s="340" t="str">
        <f t="shared" si="70"/>
        <v>KOU08</v>
      </c>
      <c r="AQ20" s="212">
        <v>1</v>
      </c>
      <c r="AR20" s="212">
        <v>3</v>
      </c>
      <c r="AS20" s="212">
        <v>1</v>
      </c>
      <c r="AT20" s="212">
        <v>3</v>
      </c>
      <c r="AU20" s="212"/>
      <c r="AV20" s="223"/>
      <c r="AW20" s="213" t="s">
        <v>170</v>
      </c>
      <c r="AX20" s="188"/>
      <c r="AY20" s="211">
        <v>8</v>
      </c>
      <c r="AZ20" s="339" t="str">
        <f t="shared" si="71"/>
        <v>KOU08</v>
      </c>
      <c r="BA20" s="212">
        <v>5</v>
      </c>
      <c r="BB20" s="212">
        <v>2</v>
      </c>
      <c r="BC20" s="212">
        <v>1</v>
      </c>
      <c r="BD20" s="212">
        <v>5</v>
      </c>
      <c r="BE20" s="224">
        <f t="shared" si="72"/>
        <v>5</v>
      </c>
      <c r="BF20" s="215">
        <f t="shared" si="62"/>
        <v>1</v>
      </c>
      <c r="BG20" s="341" t="str">
        <f t="shared" si="63"/>
        <v>KOU08</v>
      </c>
      <c r="BH20" s="212"/>
      <c r="BI20" s="212">
        <v>3</v>
      </c>
      <c r="BJ20" s="212">
        <v>3</v>
      </c>
      <c r="BK20" s="212">
        <v>1</v>
      </c>
      <c r="BL20" s="212">
        <v>3</v>
      </c>
      <c r="BM20" s="212">
        <v>1</v>
      </c>
      <c r="BN20" s="223">
        <v>1</v>
      </c>
      <c r="BO20" s="212" t="s">
        <v>170</v>
      </c>
      <c r="BP20" s="213"/>
      <c r="BQ20" s="188"/>
      <c r="BR20" s="205">
        <v>8</v>
      </c>
      <c r="BS20" s="342" t="str">
        <f t="shared" si="73"/>
        <v>KOU08</v>
      </c>
      <c r="BT20" s="207">
        <v>0</v>
      </c>
      <c r="BU20" s="275"/>
      <c r="BV20" s="207">
        <v>0</v>
      </c>
      <c r="BW20" s="207" t="s">
        <v>170</v>
      </c>
      <c r="BX20" s="216" t="s">
        <v>170</v>
      </c>
      <c r="BY20" s="208" t="s">
        <v>170</v>
      </c>
      <c r="BZ20" s="342" t="str">
        <f t="shared" si="64"/>
        <v>KOU08</v>
      </c>
      <c r="CA20" s="207" t="s">
        <v>170</v>
      </c>
      <c r="CB20" s="207" t="s">
        <v>170</v>
      </c>
      <c r="CC20" s="207" t="s">
        <v>170</v>
      </c>
      <c r="CD20" s="207" t="s">
        <v>170</v>
      </c>
      <c r="CE20" s="207" t="s">
        <v>170</v>
      </c>
      <c r="CF20" s="217" t="s">
        <v>170</v>
      </c>
      <c r="CG20" s="195"/>
      <c r="CH20" s="205">
        <v>8</v>
      </c>
      <c r="CI20" s="207" t="str">
        <f t="shared" si="74"/>
        <v>KOU08</v>
      </c>
      <c r="CJ20" s="207">
        <v>3</v>
      </c>
      <c r="CK20" s="207" t="s">
        <v>530</v>
      </c>
      <c r="CL20" s="343" t="str">
        <f t="shared" si="75"/>
        <v>KOU08</v>
      </c>
      <c r="CM20" s="207">
        <v>1000</v>
      </c>
      <c r="CN20" s="207">
        <v>500</v>
      </c>
      <c r="CO20" s="207">
        <v>0</v>
      </c>
      <c r="CP20" s="210">
        <f t="shared" si="65"/>
        <v>0</v>
      </c>
      <c r="CQ20" s="196"/>
      <c r="CR20" s="205">
        <v>8</v>
      </c>
      <c r="CS20" s="344" t="str">
        <f t="shared" si="82"/>
        <v>KOU08</v>
      </c>
      <c r="CT20" s="218"/>
      <c r="CU20" s="218"/>
      <c r="CV20" s="218"/>
      <c r="CW20" s="218"/>
      <c r="CX20" s="218"/>
      <c r="CY20" s="218"/>
      <c r="CZ20" s="218"/>
      <c r="DA20" s="218"/>
      <c r="DB20" s="218"/>
      <c r="DC20" s="219"/>
      <c r="DD20" s="188"/>
      <c r="DE20" s="205">
        <v>8</v>
      </c>
      <c r="DF20" s="344" t="str">
        <f t="shared" si="76"/>
        <v>KOU08</v>
      </c>
      <c r="DG20" s="207">
        <v>3</v>
      </c>
      <c r="DH20" s="207">
        <v>1</v>
      </c>
      <c r="DI20" s="207"/>
      <c r="DJ20" s="207"/>
      <c r="DK20" s="207"/>
      <c r="DL20" s="344" t="str">
        <f t="shared" si="66"/>
        <v>KOU08</v>
      </c>
      <c r="DM20" s="207"/>
      <c r="DN20" s="220"/>
      <c r="DO20" s="207"/>
      <c r="DP20" s="207"/>
      <c r="DQ20" s="222"/>
      <c r="DR20" s="217"/>
      <c r="DS20" s="188"/>
      <c r="DT20" s="205">
        <v>8</v>
      </c>
      <c r="DU20" s="337" t="str">
        <f t="shared" si="83"/>
        <v>KOU08</v>
      </c>
      <c r="DV20" s="212"/>
      <c r="DW20" s="212"/>
      <c r="DX20" s="212"/>
      <c r="DY20" s="188"/>
      <c r="DZ20" s="205">
        <v>8</v>
      </c>
      <c r="EA20" s="344" t="str">
        <f t="shared" si="77"/>
        <v>KOU08</v>
      </c>
      <c r="EB20" s="207"/>
      <c r="EC20" s="207"/>
      <c r="ED20" s="220" t="e">
        <f t="shared" si="84"/>
        <v>#DIV/0!</v>
      </c>
      <c r="EE20" s="207"/>
      <c r="EF20" s="220" t="e">
        <f t="shared" si="85"/>
        <v>#DIV/0!</v>
      </c>
      <c r="EG20" s="207"/>
      <c r="EH20" s="207"/>
      <c r="EI20" s="207"/>
      <c r="EJ20" s="207"/>
      <c r="EK20" s="207"/>
      <c r="EL20" s="207"/>
      <c r="EM20" s="207"/>
      <c r="EN20" s="207"/>
      <c r="EO20" s="207"/>
      <c r="EP20" s="217">
        <v>5.266</v>
      </c>
      <c r="EQ20" s="288">
        <v>0</v>
      </c>
      <c r="ER20" s="289">
        <f t="shared" si="86"/>
        <v>0</v>
      </c>
      <c r="ES20" s="188"/>
      <c r="ET20" s="201"/>
      <c r="EU20" s="338" t="str">
        <f t="shared" si="88"/>
        <v>KOU08</v>
      </c>
      <c r="EV20" s="207"/>
      <c r="EW20" s="207"/>
      <c r="EX20" s="207"/>
      <c r="EY20" s="207"/>
      <c r="EZ20" s="207"/>
      <c r="FA20" s="207"/>
      <c r="FB20" s="202" t="e">
        <f t="shared" si="78"/>
        <v>#DIV/0!</v>
      </c>
      <c r="FC20" s="207"/>
      <c r="FD20" s="207"/>
      <c r="FE20" s="205">
        <v>8</v>
      </c>
      <c r="FF20" s="337" t="str">
        <f t="shared" si="79"/>
        <v>KOU08</v>
      </c>
      <c r="FG20" s="207">
        <v>0</v>
      </c>
      <c r="FH20" s="222">
        <v>0</v>
      </c>
      <c r="FI20" s="222">
        <v>0</v>
      </c>
      <c r="FJ20" s="222">
        <v>0</v>
      </c>
      <c r="FK20" s="217">
        <v>5</v>
      </c>
      <c r="FL20" s="217"/>
    </row>
    <row r="21" spans="1:168" s="204" customFormat="1" ht="22.5" customHeight="1" thickBot="1" x14ac:dyDescent="0.3">
      <c r="A21" s="205">
        <v>9</v>
      </c>
      <c r="B21" s="206" t="s">
        <v>546</v>
      </c>
      <c r="C21" s="207">
        <v>17</v>
      </c>
      <c r="D21" s="207">
        <v>45</v>
      </c>
      <c r="E21" s="252">
        <v>0</v>
      </c>
      <c r="F21" s="253">
        <f t="shared" si="67"/>
        <v>0</v>
      </c>
      <c r="G21" s="207">
        <v>5</v>
      </c>
      <c r="H21" s="207">
        <v>36</v>
      </c>
      <c r="I21" s="207">
        <v>4</v>
      </c>
      <c r="J21" s="208">
        <f t="shared" si="56"/>
        <v>0.8</v>
      </c>
      <c r="K21" s="207">
        <v>2</v>
      </c>
      <c r="L21" s="208">
        <f t="shared" si="68"/>
        <v>0.66666666666666663</v>
      </c>
      <c r="M21" s="207">
        <v>3</v>
      </c>
      <c r="N21" s="208">
        <f t="shared" si="57"/>
        <v>0.6</v>
      </c>
      <c r="O21" s="209">
        <v>2</v>
      </c>
      <c r="P21" s="208">
        <f t="shared" si="80"/>
        <v>0.66666666666666663</v>
      </c>
      <c r="Q21" s="207">
        <v>0</v>
      </c>
      <c r="R21" s="208">
        <f t="shared" si="58"/>
        <v>0</v>
      </c>
      <c r="S21" s="207">
        <v>3</v>
      </c>
      <c r="T21" s="208">
        <f t="shared" si="59"/>
        <v>0.6</v>
      </c>
      <c r="U21" s="207">
        <v>4</v>
      </c>
      <c r="V21" s="210">
        <f t="shared" si="60"/>
        <v>0.8</v>
      </c>
      <c r="W21" s="211">
        <v>9</v>
      </c>
      <c r="X21" s="339" t="str">
        <f t="shared" si="81"/>
        <v>KOU09</v>
      </c>
      <c r="Y21" s="212">
        <v>2</v>
      </c>
      <c r="Z21" s="212">
        <v>1</v>
      </c>
      <c r="AA21" s="212">
        <v>1</v>
      </c>
      <c r="AB21" s="212">
        <v>1</v>
      </c>
      <c r="AC21" s="212">
        <v>1</v>
      </c>
      <c r="AD21" s="212">
        <v>1</v>
      </c>
      <c r="AE21" s="212">
        <v>1</v>
      </c>
      <c r="AF21" s="212">
        <v>1</v>
      </c>
      <c r="AG21" s="213">
        <v>1</v>
      </c>
      <c r="AH21" s="188"/>
      <c r="AI21" s="211">
        <v>9</v>
      </c>
      <c r="AJ21" s="339" t="str">
        <f t="shared" si="69"/>
        <v>KOU09</v>
      </c>
      <c r="AK21" s="212">
        <v>2</v>
      </c>
      <c r="AL21" s="212">
        <v>2</v>
      </c>
      <c r="AM21" s="212">
        <v>26</v>
      </c>
      <c r="AN21" s="214">
        <f t="shared" si="87"/>
        <v>13</v>
      </c>
      <c r="AO21" s="215">
        <f t="shared" si="61"/>
        <v>0.28888888888888886</v>
      </c>
      <c r="AP21" s="340" t="str">
        <f t="shared" si="70"/>
        <v>KOU09</v>
      </c>
      <c r="AQ21" s="212">
        <v>1</v>
      </c>
      <c r="AR21" s="212">
        <v>3</v>
      </c>
      <c r="AS21" s="212">
        <v>1</v>
      </c>
      <c r="AT21" s="212">
        <v>3</v>
      </c>
      <c r="AU21" s="212">
        <v>1</v>
      </c>
      <c r="AV21" s="223">
        <v>0.5</v>
      </c>
      <c r="AW21" s="213" t="s">
        <v>170</v>
      </c>
      <c r="AX21" s="188"/>
      <c r="AY21" s="211">
        <v>9</v>
      </c>
      <c r="AZ21" s="339" t="str">
        <f t="shared" si="71"/>
        <v>KOU09</v>
      </c>
      <c r="BA21" s="212">
        <v>5</v>
      </c>
      <c r="BB21" s="212">
        <v>3</v>
      </c>
      <c r="BC21" s="212">
        <v>2</v>
      </c>
      <c r="BD21" s="212">
        <v>13</v>
      </c>
      <c r="BE21" s="224">
        <f t="shared" si="72"/>
        <v>6.5</v>
      </c>
      <c r="BF21" s="215">
        <f t="shared" si="62"/>
        <v>1.3</v>
      </c>
      <c r="BG21" s="341" t="str">
        <f t="shared" si="63"/>
        <v>KOU09</v>
      </c>
      <c r="BH21" s="212">
        <v>1</v>
      </c>
      <c r="BI21" s="212">
        <v>3</v>
      </c>
      <c r="BJ21" s="212">
        <v>3</v>
      </c>
      <c r="BK21" s="212">
        <v>1</v>
      </c>
      <c r="BL21" s="212">
        <v>3</v>
      </c>
      <c r="BM21" s="212">
        <v>1</v>
      </c>
      <c r="BN21" s="223">
        <f>4/8</f>
        <v>0.5</v>
      </c>
      <c r="BO21" s="212" t="s">
        <v>170</v>
      </c>
      <c r="BP21" s="213">
        <v>1</v>
      </c>
      <c r="BQ21" s="188"/>
      <c r="BR21" s="205">
        <v>9</v>
      </c>
      <c r="BS21" s="342" t="str">
        <f t="shared" si="73"/>
        <v>KOU09</v>
      </c>
      <c r="BT21" s="207">
        <v>0</v>
      </c>
      <c r="BU21" s="275"/>
      <c r="BV21" s="207">
        <v>0</v>
      </c>
      <c r="BW21" s="207" t="s">
        <v>170</v>
      </c>
      <c r="BX21" s="216" t="s">
        <v>170</v>
      </c>
      <c r="BY21" s="208" t="s">
        <v>170</v>
      </c>
      <c r="BZ21" s="342" t="str">
        <f t="shared" si="64"/>
        <v>KOU09</v>
      </c>
      <c r="CA21" s="207" t="s">
        <v>170</v>
      </c>
      <c r="CB21" s="207" t="s">
        <v>170</v>
      </c>
      <c r="CC21" s="207" t="s">
        <v>170</v>
      </c>
      <c r="CD21" s="207" t="s">
        <v>170</v>
      </c>
      <c r="CE21" s="207" t="s">
        <v>170</v>
      </c>
      <c r="CF21" s="217" t="s">
        <v>170</v>
      </c>
      <c r="CG21" s="195"/>
      <c r="CH21" s="205">
        <v>9</v>
      </c>
      <c r="CI21" s="207" t="str">
        <f t="shared" si="74"/>
        <v>KOU09</v>
      </c>
      <c r="CJ21" s="207">
        <v>3</v>
      </c>
      <c r="CK21" s="207" t="s">
        <v>530</v>
      </c>
      <c r="CL21" s="343" t="str">
        <f t="shared" si="75"/>
        <v>KOU09</v>
      </c>
      <c r="CM21" s="207">
        <v>1500</v>
      </c>
      <c r="CN21" s="207"/>
      <c r="CO21" s="207"/>
      <c r="CP21" s="210">
        <f t="shared" si="65"/>
        <v>0</v>
      </c>
      <c r="CQ21" s="196"/>
      <c r="CR21" s="205">
        <v>9</v>
      </c>
      <c r="CS21" s="344" t="str">
        <f t="shared" si="82"/>
        <v>KOU09</v>
      </c>
      <c r="CT21" s="218">
        <v>0</v>
      </c>
      <c r="CU21" s="218">
        <v>0</v>
      </c>
      <c r="CV21" s="218">
        <v>0</v>
      </c>
      <c r="CW21" s="218">
        <v>0</v>
      </c>
      <c r="CX21" s="218">
        <v>0</v>
      </c>
      <c r="CY21" s="218">
        <v>0</v>
      </c>
      <c r="CZ21" s="218">
        <v>0</v>
      </c>
      <c r="DA21" s="218">
        <v>0</v>
      </c>
      <c r="DB21" s="218">
        <v>0</v>
      </c>
      <c r="DC21" s="219">
        <v>0</v>
      </c>
      <c r="DD21" s="188"/>
      <c r="DE21" s="205">
        <v>9</v>
      </c>
      <c r="DF21" s="344" t="str">
        <f t="shared" si="76"/>
        <v>KOU09</v>
      </c>
      <c r="DG21" s="207"/>
      <c r="DH21" s="207"/>
      <c r="DI21" s="207"/>
      <c r="DJ21" s="207"/>
      <c r="DK21" s="207"/>
      <c r="DL21" s="344" t="str">
        <f t="shared" si="66"/>
        <v>KOU09</v>
      </c>
      <c r="DM21" s="207"/>
      <c r="DN21" s="220"/>
      <c r="DO21" s="207"/>
      <c r="DP21" s="207"/>
      <c r="DQ21" s="222"/>
      <c r="DR21" s="217"/>
      <c r="DS21" s="188"/>
      <c r="DT21" s="205">
        <v>9</v>
      </c>
      <c r="DU21" s="337" t="str">
        <f t="shared" si="83"/>
        <v>KOU09</v>
      </c>
      <c r="DV21" s="212">
        <v>1</v>
      </c>
      <c r="DW21" s="212"/>
      <c r="DX21" s="212"/>
      <c r="DY21" s="188"/>
      <c r="DZ21" s="205">
        <v>9</v>
      </c>
      <c r="EA21" s="344" t="str">
        <f t="shared" si="77"/>
        <v>KOU09</v>
      </c>
      <c r="EB21" s="207"/>
      <c r="EC21" s="207"/>
      <c r="ED21" s="220" t="e">
        <f t="shared" si="84"/>
        <v>#DIV/0!</v>
      </c>
      <c r="EE21" s="207"/>
      <c r="EF21" s="220" t="e">
        <f t="shared" si="85"/>
        <v>#DIV/0!</v>
      </c>
      <c r="EG21" s="207"/>
      <c r="EH21" s="207"/>
      <c r="EI21" s="207"/>
      <c r="EJ21" s="207"/>
      <c r="EK21" s="207"/>
      <c r="EL21" s="207"/>
      <c r="EM21" s="207"/>
      <c r="EN21" s="207"/>
      <c r="EO21" s="207"/>
      <c r="EP21" s="217">
        <v>5.6060999999999996</v>
      </c>
      <c r="EQ21" s="288">
        <v>0</v>
      </c>
      <c r="ER21" s="289">
        <f t="shared" si="86"/>
        <v>0</v>
      </c>
      <c r="ES21" s="188"/>
      <c r="ET21" s="201"/>
      <c r="EU21" s="338" t="str">
        <f t="shared" si="88"/>
        <v>KOU09</v>
      </c>
      <c r="EV21" s="207"/>
      <c r="EW21" s="207"/>
      <c r="EX21" s="207"/>
      <c r="EY21" s="207"/>
      <c r="EZ21" s="207"/>
      <c r="FA21" s="207"/>
      <c r="FB21" s="202" t="e">
        <f t="shared" si="78"/>
        <v>#DIV/0!</v>
      </c>
      <c r="FC21" s="207"/>
      <c r="FD21" s="207"/>
      <c r="FE21" s="205">
        <v>9</v>
      </c>
      <c r="FF21" s="337" t="str">
        <f t="shared" si="79"/>
        <v>KOU09</v>
      </c>
      <c r="FG21" s="207">
        <v>0</v>
      </c>
      <c r="FH21" s="222">
        <v>0</v>
      </c>
      <c r="FI21" s="222">
        <v>0</v>
      </c>
      <c r="FJ21" s="222">
        <v>0</v>
      </c>
      <c r="FK21" s="217">
        <v>2</v>
      </c>
      <c r="FL21" s="217"/>
    </row>
    <row r="22" spans="1:168" s="204" customFormat="1" ht="22.5" customHeight="1" thickBot="1" x14ac:dyDescent="0.3">
      <c r="A22" s="205">
        <v>10</v>
      </c>
      <c r="B22" s="206" t="s">
        <v>547</v>
      </c>
      <c r="C22" s="207">
        <v>15</v>
      </c>
      <c r="D22" s="207">
        <v>27</v>
      </c>
      <c r="E22" s="252">
        <v>3</v>
      </c>
      <c r="F22" s="253"/>
      <c r="G22" s="207">
        <v>8</v>
      </c>
      <c r="H22" s="207">
        <v>33</v>
      </c>
      <c r="I22" s="207">
        <v>5</v>
      </c>
      <c r="J22" s="208">
        <f t="shared" si="56"/>
        <v>0.625</v>
      </c>
      <c r="K22" s="207">
        <v>3</v>
      </c>
      <c r="L22" s="208">
        <f t="shared" si="68"/>
        <v>1</v>
      </c>
      <c r="M22" s="207">
        <v>5</v>
      </c>
      <c r="N22" s="208">
        <f t="shared" si="57"/>
        <v>0.625</v>
      </c>
      <c r="O22" s="209">
        <v>1</v>
      </c>
      <c r="P22" s="208">
        <f t="shared" si="80"/>
        <v>0.33333333333333331</v>
      </c>
      <c r="Q22" s="207">
        <v>0</v>
      </c>
      <c r="R22" s="208">
        <f t="shared" si="58"/>
        <v>0</v>
      </c>
      <c r="S22" s="207">
        <v>5</v>
      </c>
      <c r="T22" s="208">
        <f t="shared" si="59"/>
        <v>0.625</v>
      </c>
      <c r="U22" s="207">
        <v>1</v>
      </c>
      <c r="V22" s="210">
        <f t="shared" si="60"/>
        <v>0.125</v>
      </c>
      <c r="W22" s="211">
        <v>10</v>
      </c>
      <c r="X22" s="339" t="str">
        <f t="shared" si="81"/>
        <v>KOU10</v>
      </c>
      <c r="Y22" s="212">
        <v>2</v>
      </c>
      <c r="Z22" s="212">
        <v>1</v>
      </c>
      <c r="AA22" s="212">
        <v>1</v>
      </c>
      <c r="AB22" s="212">
        <v>1</v>
      </c>
      <c r="AC22" s="212">
        <v>1</v>
      </c>
      <c r="AD22" s="212">
        <v>1</v>
      </c>
      <c r="AE22" s="212">
        <v>1</v>
      </c>
      <c r="AF22" s="212">
        <v>1</v>
      </c>
      <c r="AG22" s="213">
        <v>1</v>
      </c>
      <c r="AH22" s="188"/>
      <c r="AI22" s="211">
        <v>10</v>
      </c>
      <c r="AJ22" s="339" t="str">
        <f t="shared" si="69"/>
        <v>KOU10</v>
      </c>
      <c r="AK22" s="212">
        <v>2</v>
      </c>
      <c r="AL22" s="212">
        <v>0</v>
      </c>
      <c r="AM22" s="226" t="s">
        <v>170</v>
      </c>
      <c r="AN22" s="214" t="e">
        <f t="shared" si="87"/>
        <v>#VALUE!</v>
      </c>
      <c r="AO22" s="215" t="e">
        <f t="shared" si="61"/>
        <v>#VALUE!</v>
      </c>
      <c r="AP22" s="340" t="str">
        <f t="shared" si="70"/>
        <v>KOU10</v>
      </c>
      <c r="AQ22" s="212" t="s">
        <v>170</v>
      </c>
      <c r="AR22" s="212" t="s">
        <v>170</v>
      </c>
      <c r="AS22" s="212" t="s">
        <v>170</v>
      </c>
      <c r="AT22" s="212" t="s">
        <v>170</v>
      </c>
      <c r="AU22" s="212" t="s">
        <v>170</v>
      </c>
      <c r="AV22" s="223" t="s">
        <v>170</v>
      </c>
      <c r="AW22" s="213" t="s">
        <v>170</v>
      </c>
      <c r="AX22" s="188"/>
      <c r="AY22" s="211">
        <v>10</v>
      </c>
      <c r="AZ22" s="339" t="str">
        <f t="shared" si="71"/>
        <v>KOU10</v>
      </c>
      <c r="BA22" s="212">
        <v>6</v>
      </c>
      <c r="BB22" s="212">
        <v>2</v>
      </c>
      <c r="BC22" s="212">
        <v>2</v>
      </c>
      <c r="BD22" s="212">
        <v>9</v>
      </c>
      <c r="BE22" s="224">
        <f t="shared" si="72"/>
        <v>4.5</v>
      </c>
      <c r="BF22" s="215">
        <f t="shared" si="62"/>
        <v>0.75</v>
      </c>
      <c r="BG22" s="341" t="str">
        <f t="shared" si="63"/>
        <v>KOU10</v>
      </c>
      <c r="BH22" s="212">
        <v>1</v>
      </c>
      <c r="BI22" s="212">
        <v>3</v>
      </c>
      <c r="BJ22" s="212">
        <v>3</v>
      </c>
      <c r="BK22" s="212">
        <v>1</v>
      </c>
      <c r="BL22" s="212">
        <v>3</v>
      </c>
      <c r="BM22" s="212">
        <v>1</v>
      </c>
      <c r="BN22" s="223">
        <f>5/8</f>
        <v>0.625</v>
      </c>
      <c r="BO22" s="212" t="s">
        <v>170</v>
      </c>
      <c r="BP22" s="213"/>
      <c r="BQ22" s="188"/>
      <c r="BR22" s="205">
        <v>10</v>
      </c>
      <c r="BS22" s="342" t="str">
        <f t="shared" si="73"/>
        <v>KOU10</v>
      </c>
      <c r="BT22" s="207">
        <v>2</v>
      </c>
      <c r="BU22" s="275"/>
      <c r="BV22" s="207"/>
      <c r="BW22" s="207"/>
      <c r="BX22" s="216" t="s">
        <v>170</v>
      </c>
      <c r="BY22" s="208" t="s">
        <v>170</v>
      </c>
      <c r="BZ22" s="342" t="str">
        <f t="shared" si="64"/>
        <v>KOU10</v>
      </c>
      <c r="CA22" s="207"/>
      <c r="CB22" s="207"/>
      <c r="CC22" s="207"/>
      <c r="CD22" s="207"/>
      <c r="CE22" s="207"/>
      <c r="CF22" s="217"/>
      <c r="CG22" s="195"/>
      <c r="CH22" s="205">
        <v>10</v>
      </c>
      <c r="CI22" s="207" t="str">
        <f t="shared" si="74"/>
        <v>KOU10</v>
      </c>
      <c r="CJ22" s="207">
        <v>3</v>
      </c>
      <c r="CK22" s="207"/>
      <c r="CL22" s="343" t="str">
        <f t="shared" si="75"/>
        <v>KOU10</v>
      </c>
      <c r="CM22" s="207">
        <v>1000</v>
      </c>
      <c r="CN22" s="207">
        <v>500</v>
      </c>
      <c r="CO22" s="207">
        <v>0</v>
      </c>
      <c r="CP22" s="210">
        <f t="shared" si="65"/>
        <v>0</v>
      </c>
      <c r="CQ22" s="196"/>
      <c r="CR22" s="205">
        <v>10</v>
      </c>
      <c r="CS22" s="344" t="str">
        <f t="shared" si="82"/>
        <v>KOU10</v>
      </c>
      <c r="CT22" s="218"/>
      <c r="CU22" s="218">
        <v>1</v>
      </c>
      <c r="CV22" s="218"/>
      <c r="CW22" s="218"/>
      <c r="CX22" s="218"/>
      <c r="CY22" s="218"/>
      <c r="CZ22" s="218"/>
      <c r="DA22" s="218"/>
      <c r="DB22" s="218"/>
      <c r="DC22" s="219"/>
      <c r="DD22" s="188"/>
      <c r="DE22" s="205">
        <v>10</v>
      </c>
      <c r="DF22" s="344" t="str">
        <f t="shared" si="76"/>
        <v>KOU10</v>
      </c>
      <c r="DG22" s="207">
        <v>3</v>
      </c>
      <c r="DH22" s="207">
        <v>1</v>
      </c>
      <c r="DI22" s="207"/>
      <c r="DJ22" s="207"/>
      <c r="DK22" s="207"/>
      <c r="DL22" s="344" t="str">
        <f t="shared" si="66"/>
        <v>KOU10</v>
      </c>
      <c r="DM22" s="207">
        <v>14</v>
      </c>
      <c r="DN22" s="220"/>
      <c r="DO22" s="207"/>
      <c r="DP22" s="207"/>
      <c r="DQ22" s="222"/>
      <c r="DR22" s="217"/>
      <c r="DS22" s="188"/>
      <c r="DT22" s="205">
        <v>10</v>
      </c>
      <c r="DU22" s="337" t="str">
        <f t="shared" si="83"/>
        <v>KOU10</v>
      </c>
      <c r="DV22" s="212">
        <v>2</v>
      </c>
      <c r="DW22" s="212"/>
      <c r="DX22" s="212"/>
      <c r="DY22" s="188"/>
      <c r="DZ22" s="205">
        <v>10</v>
      </c>
      <c r="EA22" s="344" t="str">
        <f t="shared" si="77"/>
        <v>KOU10</v>
      </c>
      <c r="EB22" s="207"/>
      <c r="EC22" s="207"/>
      <c r="ED22" s="220" t="e">
        <f t="shared" si="84"/>
        <v>#DIV/0!</v>
      </c>
      <c r="EE22" s="207"/>
      <c r="EF22" s="220" t="e">
        <f t="shared" si="85"/>
        <v>#DIV/0!</v>
      </c>
      <c r="EG22" s="207"/>
      <c r="EH22" s="207"/>
      <c r="EI22" s="207"/>
      <c r="EJ22" s="207"/>
      <c r="EK22" s="207"/>
      <c r="EL22" s="207"/>
      <c r="EM22" s="207"/>
      <c r="EN22" s="207"/>
      <c r="EO22" s="207"/>
      <c r="EP22" s="217"/>
      <c r="EQ22" s="288">
        <v>0</v>
      </c>
      <c r="ER22" s="289" t="e">
        <f t="shared" si="86"/>
        <v>#DIV/0!</v>
      </c>
      <c r="ES22" s="188"/>
      <c r="ET22" s="201"/>
      <c r="EU22" s="338" t="str">
        <f t="shared" si="88"/>
        <v>KOU10</v>
      </c>
      <c r="EV22" s="207"/>
      <c r="EW22" s="207"/>
      <c r="EX22" s="207"/>
      <c r="EY22" s="207"/>
      <c r="EZ22" s="207"/>
      <c r="FA22" s="207"/>
      <c r="FB22" s="202" t="e">
        <f t="shared" si="78"/>
        <v>#DIV/0!</v>
      </c>
      <c r="FC22" s="207"/>
      <c r="FD22" s="207"/>
      <c r="FE22" s="205">
        <v>10</v>
      </c>
      <c r="FF22" s="337" t="str">
        <f t="shared" si="79"/>
        <v>KOU10</v>
      </c>
      <c r="FG22" s="207">
        <v>1</v>
      </c>
      <c r="FH22" s="222">
        <v>0</v>
      </c>
      <c r="FI22" s="222">
        <v>0</v>
      </c>
      <c r="FJ22" s="222">
        <v>0</v>
      </c>
      <c r="FK22" s="217">
        <v>3</v>
      </c>
      <c r="FL22" s="217"/>
    </row>
    <row r="23" spans="1:168" s="204" customFormat="1" ht="22.5" customHeight="1" thickBot="1" x14ac:dyDescent="0.3">
      <c r="A23" s="205">
        <v>11</v>
      </c>
      <c r="B23" s="206" t="s">
        <v>548</v>
      </c>
      <c r="C23" s="207">
        <v>19</v>
      </c>
      <c r="D23" s="207">
        <v>65</v>
      </c>
      <c r="E23" s="252">
        <v>13</v>
      </c>
      <c r="F23" s="253">
        <f t="shared" si="67"/>
        <v>0.2</v>
      </c>
      <c r="G23" s="207">
        <v>10</v>
      </c>
      <c r="H23" s="207">
        <v>39</v>
      </c>
      <c r="I23" s="207">
        <v>6</v>
      </c>
      <c r="J23" s="208">
        <f t="shared" si="56"/>
        <v>0.6</v>
      </c>
      <c r="K23" s="207">
        <v>1</v>
      </c>
      <c r="L23" s="208">
        <f t="shared" si="68"/>
        <v>0.33333333333333331</v>
      </c>
      <c r="M23" s="207">
        <v>6</v>
      </c>
      <c r="N23" s="208">
        <f t="shared" si="57"/>
        <v>0.6</v>
      </c>
      <c r="O23" s="209">
        <v>2</v>
      </c>
      <c r="P23" s="208">
        <f t="shared" si="80"/>
        <v>0.66666666666666663</v>
      </c>
      <c r="Q23" s="207">
        <v>0</v>
      </c>
      <c r="R23" s="208">
        <f t="shared" si="58"/>
        <v>0</v>
      </c>
      <c r="S23" s="207">
        <v>6</v>
      </c>
      <c r="T23" s="208">
        <f t="shared" si="59"/>
        <v>0.6</v>
      </c>
      <c r="U23" s="207">
        <v>0</v>
      </c>
      <c r="V23" s="210">
        <f t="shared" si="60"/>
        <v>0</v>
      </c>
      <c r="W23" s="211">
        <v>11</v>
      </c>
      <c r="X23" s="339" t="str">
        <f t="shared" si="81"/>
        <v>KOU11</v>
      </c>
      <c r="Y23" s="212"/>
      <c r="Z23" s="212">
        <v>1</v>
      </c>
      <c r="AA23" s="212">
        <v>1</v>
      </c>
      <c r="AB23" s="212">
        <v>1</v>
      </c>
      <c r="AC23" s="212">
        <v>1</v>
      </c>
      <c r="AD23" s="212"/>
      <c r="AE23" s="212"/>
      <c r="AF23" s="212">
        <v>1</v>
      </c>
      <c r="AG23" s="213">
        <v>1</v>
      </c>
      <c r="AH23" s="188"/>
      <c r="AI23" s="211">
        <v>11</v>
      </c>
      <c r="AJ23" s="339" t="str">
        <f t="shared" si="69"/>
        <v>KOU11</v>
      </c>
      <c r="AK23" s="212">
        <v>2</v>
      </c>
      <c r="AL23" s="212" t="s">
        <v>537</v>
      </c>
      <c r="AM23" s="212" t="s">
        <v>537</v>
      </c>
      <c r="AN23" s="214" t="e">
        <f t="shared" si="87"/>
        <v>#VALUE!</v>
      </c>
      <c r="AO23" s="215" t="e">
        <f t="shared" si="61"/>
        <v>#VALUE!</v>
      </c>
      <c r="AP23" s="340" t="str">
        <f t="shared" si="70"/>
        <v>KOU11</v>
      </c>
      <c r="AQ23" s="212">
        <v>4</v>
      </c>
      <c r="AR23" s="212">
        <v>3</v>
      </c>
      <c r="AS23" s="212">
        <v>1</v>
      </c>
      <c r="AT23" s="212">
        <v>3</v>
      </c>
      <c r="AU23" s="212">
        <v>1</v>
      </c>
      <c r="AV23" s="223">
        <v>0.5</v>
      </c>
      <c r="AW23" s="213" t="s">
        <v>170</v>
      </c>
      <c r="AX23" s="188"/>
      <c r="AY23" s="211">
        <v>11</v>
      </c>
      <c r="AZ23" s="339" t="str">
        <f t="shared" si="71"/>
        <v>KOU11</v>
      </c>
      <c r="BA23" s="212">
        <v>7</v>
      </c>
      <c r="BB23" s="212">
        <v>1</v>
      </c>
      <c r="BC23" s="212"/>
      <c r="BD23" s="212"/>
      <c r="BE23" s="224" t="s">
        <v>170</v>
      </c>
      <c r="BF23" s="215" t="s">
        <v>170</v>
      </c>
      <c r="BG23" s="341" t="str">
        <f>+AZ23</f>
        <v>KOU11</v>
      </c>
      <c r="BH23" s="212"/>
      <c r="BI23" s="212">
        <v>3</v>
      </c>
      <c r="BJ23" s="212">
        <v>3</v>
      </c>
      <c r="BK23" s="212">
        <v>1</v>
      </c>
      <c r="BL23" s="212">
        <v>3</v>
      </c>
      <c r="BM23" s="212">
        <v>1</v>
      </c>
      <c r="BN23" s="223">
        <f>5/8</f>
        <v>0.625</v>
      </c>
      <c r="BO23" s="212" t="s">
        <v>170</v>
      </c>
      <c r="BP23" s="213">
        <v>1</v>
      </c>
      <c r="BQ23" s="188"/>
      <c r="BR23" s="205">
        <v>11</v>
      </c>
      <c r="BS23" s="342" t="str">
        <f t="shared" si="73"/>
        <v>KOU11</v>
      </c>
      <c r="BT23" s="207">
        <v>2</v>
      </c>
      <c r="BU23" s="275"/>
      <c r="BV23" s="207">
        <v>0</v>
      </c>
      <c r="BW23" s="207" t="s">
        <v>170</v>
      </c>
      <c r="BX23" s="216" t="s">
        <v>170</v>
      </c>
      <c r="BY23" s="208" t="s">
        <v>170</v>
      </c>
      <c r="BZ23" s="342" t="str">
        <f>+BS23</f>
        <v>KOU11</v>
      </c>
      <c r="CA23" s="207"/>
      <c r="CB23" s="207" t="s">
        <v>170</v>
      </c>
      <c r="CC23" s="207" t="s">
        <v>170</v>
      </c>
      <c r="CD23" s="207" t="s">
        <v>170</v>
      </c>
      <c r="CE23" s="207" t="s">
        <v>170</v>
      </c>
      <c r="CF23" s="217" t="s">
        <v>170</v>
      </c>
      <c r="CG23" s="195"/>
      <c r="CH23" s="205">
        <v>11</v>
      </c>
      <c r="CI23" s="207" t="str">
        <f t="shared" si="74"/>
        <v>KOU11</v>
      </c>
      <c r="CJ23" s="207">
        <v>3</v>
      </c>
      <c r="CK23" s="207" t="s">
        <v>530</v>
      </c>
      <c r="CL23" s="343" t="str">
        <f t="shared" si="75"/>
        <v>KOU11</v>
      </c>
      <c r="CM23" s="207">
        <v>1500</v>
      </c>
      <c r="CN23" s="207">
        <v>500</v>
      </c>
      <c r="CO23" s="207">
        <v>43</v>
      </c>
      <c r="CP23" s="210">
        <f t="shared" si="65"/>
        <v>0.66153846153846152</v>
      </c>
      <c r="CQ23" s="196"/>
      <c r="CR23" s="205">
        <v>11</v>
      </c>
      <c r="CS23" s="344" t="str">
        <f t="shared" si="82"/>
        <v>KOU11</v>
      </c>
      <c r="CT23" s="218"/>
      <c r="CU23" s="218">
        <v>1</v>
      </c>
      <c r="CV23" s="218"/>
      <c r="CW23" s="218"/>
      <c r="CX23" s="218"/>
      <c r="CY23" s="218"/>
      <c r="CZ23" s="218"/>
      <c r="DA23" s="218"/>
      <c r="DB23" s="218"/>
      <c r="DC23" s="219"/>
      <c r="DD23" s="188"/>
      <c r="DE23" s="205">
        <v>11</v>
      </c>
      <c r="DF23" s="344" t="str">
        <f t="shared" si="76"/>
        <v>KOU11</v>
      </c>
      <c r="DG23" s="207">
        <v>3</v>
      </c>
      <c r="DH23" s="207">
        <v>1</v>
      </c>
      <c r="DI23" s="207"/>
      <c r="DJ23" s="207"/>
      <c r="DK23" s="207"/>
      <c r="DL23" s="344" t="str">
        <f t="shared" si="66"/>
        <v>KOU11</v>
      </c>
      <c r="DM23" s="207"/>
      <c r="DN23" s="220"/>
      <c r="DO23" s="207"/>
      <c r="DP23" s="207"/>
      <c r="DQ23" s="222"/>
      <c r="DR23" s="217"/>
      <c r="DS23" s="188"/>
      <c r="DT23" s="205">
        <v>11</v>
      </c>
      <c r="DU23" s="337" t="str">
        <f t="shared" si="83"/>
        <v>KOU11</v>
      </c>
      <c r="DV23" s="212">
        <v>1</v>
      </c>
      <c r="DW23" s="212"/>
      <c r="DX23" s="212"/>
      <c r="DY23" s="188"/>
      <c r="DZ23" s="205">
        <v>11</v>
      </c>
      <c r="EA23" s="344" t="str">
        <f t="shared" si="77"/>
        <v>KOU11</v>
      </c>
      <c r="EB23" s="207"/>
      <c r="EC23" s="207"/>
      <c r="ED23" s="220" t="e">
        <f t="shared" si="84"/>
        <v>#DIV/0!</v>
      </c>
      <c r="EE23" s="207">
        <v>792</v>
      </c>
      <c r="EF23" s="220" t="e">
        <f t="shared" si="85"/>
        <v>#DIV/0!</v>
      </c>
      <c r="EG23" s="207">
        <v>9.5039999999999996</v>
      </c>
      <c r="EH23" s="207"/>
      <c r="EI23" s="207"/>
      <c r="EJ23" s="207"/>
      <c r="EK23" s="207"/>
      <c r="EL23" s="207"/>
      <c r="EM23" s="207"/>
      <c r="EN23" s="207"/>
      <c r="EO23" s="207"/>
      <c r="EP23" s="217">
        <v>14.963699999999999</v>
      </c>
      <c r="EQ23" s="288">
        <v>0</v>
      </c>
      <c r="ER23" s="289"/>
      <c r="ES23" s="188"/>
      <c r="ET23" s="201"/>
      <c r="EU23" s="338" t="str">
        <f t="shared" si="88"/>
        <v>KOU11</v>
      </c>
      <c r="EV23" s="207"/>
      <c r="EW23" s="207"/>
      <c r="EX23" s="207"/>
      <c r="EY23" s="207"/>
      <c r="EZ23" s="207"/>
      <c r="FA23" s="207"/>
      <c r="FB23" s="202" t="e">
        <f t="shared" si="78"/>
        <v>#DIV/0!</v>
      </c>
      <c r="FC23" s="207"/>
      <c r="FD23" s="207"/>
      <c r="FE23" s="205">
        <v>11</v>
      </c>
      <c r="FF23" s="337" t="str">
        <f t="shared" si="79"/>
        <v>KOU11</v>
      </c>
      <c r="FG23" s="207"/>
      <c r="FH23" s="222"/>
      <c r="FI23" s="222"/>
      <c r="FJ23" s="222"/>
      <c r="FK23" s="217">
        <v>2</v>
      </c>
      <c r="FL23" s="217"/>
    </row>
    <row r="24" spans="1:168" s="204" customFormat="1" ht="22.5" customHeight="1" thickBot="1" x14ac:dyDescent="0.3">
      <c r="A24" s="205">
        <v>12</v>
      </c>
      <c r="B24" s="206" t="s">
        <v>549</v>
      </c>
      <c r="C24" s="207">
        <v>12</v>
      </c>
      <c r="D24" s="207">
        <v>165</v>
      </c>
      <c r="E24" s="252"/>
      <c r="F24" s="253">
        <f t="shared" si="67"/>
        <v>0</v>
      </c>
      <c r="G24" s="207">
        <v>10</v>
      </c>
      <c r="H24" s="207">
        <v>39</v>
      </c>
      <c r="I24" s="207">
        <v>3</v>
      </c>
      <c r="J24" s="208">
        <f t="shared" si="56"/>
        <v>0.3</v>
      </c>
      <c r="K24" s="207">
        <v>1</v>
      </c>
      <c r="L24" s="208">
        <f t="shared" si="68"/>
        <v>0.33333333333333331</v>
      </c>
      <c r="M24" s="207">
        <v>5</v>
      </c>
      <c r="N24" s="208">
        <f t="shared" si="57"/>
        <v>0.5</v>
      </c>
      <c r="O24" s="209">
        <v>1</v>
      </c>
      <c r="P24" s="208">
        <f t="shared" si="80"/>
        <v>0.33333333333333331</v>
      </c>
      <c r="Q24" s="207">
        <v>1</v>
      </c>
      <c r="R24" s="208">
        <f t="shared" si="58"/>
        <v>0.1</v>
      </c>
      <c r="S24" s="207">
        <v>3</v>
      </c>
      <c r="T24" s="208">
        <f t="shared" si="59"/>
        <v>0.3</v>
      </c>
      <c r="U24" s="207">
        <v>0</v>
      </c>
      <c r="V24" s="210">
        <f t="shared" si="60"/>
        <v>0</v>
      </c>
      <c r="W24" s="211">
        <v>12</v>
      </c>
      <c r="X24" s="339" t="str">
        <f t="shared" si="81"/>
        <v>KOU12</v>
      </c>
      <c r="Y24" s="212">
        <v>2</v>
      </c>
      <c r="Z24" s="212">
        <v>1</v>
      </c>
      <c r="AA24" s="212">
        <v>1</v>
      </c>
      <c r="AB24" s="212">
        <v>1</v>
      </c>
      <c r="AC24" s="212"/>
      <c r="AD24" s="212"/>
      <c r="AE24" s="212"/>
      <c r="AF24" s="212">
        <v>1</v>
      </c>
      <c r="AG24" s="213">
        <v>1</v>
      </c>
      <c r="AH24" s="188"/>
      <c r="AI24" s="211">
        <v>12</v>
      </c>
      <c r="AJ24" s="339" t="str">
        <f t="shared" si="69"/>
        <v>KOU12</v>
      </c>
      <c r="AK24" s="221">
        <v>6</v>
      </c>
      <c r="AL24" s="212"/>
      <c r="AM24" s="212"/>
      <c r="AN24" s="214" t="e">
        <f t="shared" si="87"/>
        <v>#DIV/0!</v>
      </c>
      <c r="AO24" s="215" t="e">
        <f t="shared" si="61"/>
        <v>#DIV/0!</v>
      </c>
      <c r="AP24" s="340" t="str">
        <f t="shared" si="70"/>
        <v>KOU12</v>
      </c>
      <c r="AQ24" s="212">
        <v>1</v>
      </c>
      <c r="AR24" s="212">
        <v>3</v>
      </c>
      <c r="AS24" s="212">
        <v>1</v>
      </c>
      <c r="AT24" s="212">
        <v>3</v>
      </c>
      <c r="AU24" s="212">
        <v>1</v>
      </c>
      <c r="AV24" s="223">
        <v>0.5</v>
      </c>
      <c r="AW24" s="213" t="s">
        <v>170</v>
      </c>
      <c r="AX24" s="188"/>
      <c r="AY24" s="211">
        <v>12</v>
      </c>
      <c r="AZ24" s="339" t="str">
        <f t="shared" si="71"/>
        <v>KOU12</v>
      </c>
      <c r="BA24" s="212">
        <v>9</v>
      </c>
      <c r="BB24" s="212">
        <v>0</v>
      </c>
      <c r="BC24" s="212">
        <v>1</v>
      </c>
      <c r="BD24" s="212">
        <v>6</v>
      </c>
      <c r="BE24" s="214">
        <f t="shared" si="72"/>
        <v>6</v>
      </c>
      <c r="BF24" s="215">
        <f t="shared" si="62"/>
        <v>0.66666666666666663</v>
      </c>
      <c r="BG24" s="341" t="str">
        <f>+AZ24</f>
        <v>KOU12</v>
      </c>
      <c r="BH24" s="212"/>
      <c r="BI24" s="212">
        <v>3</v>
      </c>
      <c r="BJ24" s="212">
        <v>3</v>
      </c>
      <c r="BK24" s="212">
        <v>1</v>
      </c>
      <c r="BL24" s="212">
        <v>3</v>
      </c>
      <c r="BM24" s="212">
        <v>1</v>
      </c>
      <c r="BN24" s="223">
        <f>5/9</f>
        <v>0.55555555555555558</v>
      </c>
      <c r="BO24" s="212" t="s">
        <v>170</v>
      </c>
      <c r="BP24" s="213"/>
      <c r="BQ24" s="188"/>
      <c r="BR24" s="205">
        <v>12</v>
      </c>
      <c r="BS24" s="342" t="str">
        <f t="shared" si="73"/>
        <v>KOU12</v>
      </c>
      <c r="BT24" s="207">
        <v>2</v>
      </c>
      <c r="BU24" s="275"/>
      <c r="BV24" s="207">
        <v>0</v>
      </c>
      <c r="BW24" s="207" t="s">
        <v>170</v>
      </c>
      <c r="BX24" s="216" t="e">
        <f>+BW24/BV24</f>
        <v>#VALUE!</v>
      </c>
      <c r="BY24" s="208" t="e">
        <f>BX24/BT24</f>
        <v>#VALUE!</v>
      </c>
      <c r="BZ24" s="342" t="str">
        <f>+BS24</f>
        <v>KOU12</v>
      </c>
      <c r="CA24" s="207">
        <v>1</v>
      </c>
      <c r="CB24" s="207" t="s">
        <v>170</v>
      </c>
      <c r="CC24" s="207" t="s">
        <v>170</v>
      </c>
      <c r="CD24" s="207" t="s">
        <v>170</v>
      </c>
      <c r="CE24" s="207" t="s">
        <v>170</v>
      </c>
      <c r="CF24" s="217" t="s">
        <v>170</v>
      </c>
      <c r="CG24" s="195"/>
      <c r="CH24" s="205">
        <v>12</v>
      </c>
      <c r="CI24" s="207" t="str">
        <f t="shared" si="74"/>
        <v>KOU12</v>
      </c>
      <c r="CJ24" s="207">
        <v>3</v>
      </c>
      <c r="CK24" s="207"/>
      <c r="CL24" s="343" t="str">
        <f t="shared" si="75"/>
        <v>KOU12</v>
      </c>
      <c r="CM24" s="207">
        <v>2000</v>
      </c>
      <c r="CN24" s="207">
        <v>500</v>
      </c>
      <c r="CO24" s="207">
        <v>0</v>
      </c>
      <c r="CP24" s="210">
        <f t="shared" si="65"/>
        <v>0</v>
      </c>
      <c r="CQ24" s="196"/>
      <c r="CR24" s="205">
        <v>12</v>
      </c>
      <c r="CS24" s="344" t="str">
        <f t="shared" si="82"/>
        <v>KOU12</v>
      </c>
      <c r="CT24" s="218"/>
      <c r="CU24" s="218">
        <v>1</v>
      </c>
      <c r="CV24" s="218"/>
      <c r="CW24" s="218"/>
      <c r="CX24" s="218"/>
      <c r="CY24" s="218"/>
      <c r="CZ24" s="218"/>
      <c r="DA24" s="218"/>
      <c r="DB24" s="218"/>
      <c r="DC24" s="219"/>
      <c r="DD24" s="188"/>
      <c r="DE24" s="205">
        <v>12</v>
      </c>
      <c r="DF24" s="344" t="str">
        <f t="shared" si="76"/>
        <v>KOU12</v>
      </c>
      <c r="DG24" s="207"/>
      <c r="DH24" s="207"/>
      <c r="DI24" s="207"/>
      <c r="DJ24" s="207"/>
      <c r="DK24" s="207"/>
      <c r="DL24" s="344" t="str">
        <f t="shared" si="66"/>
        <v>KOU12</v>
      </c>
      <c r="DM24" s="207"/>
      <c r="DN24" s="220"/>
      <c r="DO24" s="207"/>
      <c r="DP24" s="207"/>
      <c r="DQ24" s="222"/>
      <c r="DR24" s="217"/>
      <c r="DS24" s="188"/>
      <c r="DT24" s="205">
        <v>12</v>
      </c>
      <c r="DU24" s="337" t="str">
        <f t="shared" si="83"/>
        <v>KOU12</v>
      </c>
      <c r="DV24" s="212"/>
      <c r="DW24" s="212">
        <v>25</v>
      </c>
      <c r="DX24" s="212">
        <v>2</v>
      </c>
      <c r="DY24" s="188"/>
      <c r="DZ24" s="205">
        <v>12</v>
      </c>
      <c r="EA24" s="344" t="str">
        <f t="shared" si="77"/>
        <v>KOU12</v>
      </c>
      <c r="EB24" s="207"/>
      <c r="EC24" s="207"/>
      <c r="ED24" s="220" t="e">
        <f t="shared" si="84"/>
        <v>#DIV/0!</v>
      </c>
      <c r="EE24" s="207"/>
      <c r="EF24" s="220" t="e">
        <f t="shared" si="85"/>
        <v>#DIV/0!</v>
      </c>
      <c r="EG24" s="207">
        <v>18.402750000000001</v>
      </c>
      <c r="EH24" s="207"/>
      <c r="EI24" s="207"/>
      <c r="EJ24" s="207"/>
      <c r="EK24" s="207"/>
      <c r="EL24" s="207"/>
      <c r="EM24" s="207"/>
      <c r="EN24" s="207"/>
      <c r="EO24" s="207"/>
      <c r="EP24" s="217">
        <v>26.288150000000002</v>
      </c>
      <c r="EQ24" s="288">
        <v>0</v>
      </c>
      <c r="ER24" s="289">
        <f t="shared" si="86"/>
        <v>0</v>
      </c>
      <c r="ES24" s="188"/>
      <c r="ET24" s="201"/>
      <c r="EU24" s="338" t="str">
        <f t="shared" si="88"/>
        <v>KOU12</v>
      </c>
      <c r="EV24" s="207"/>
      <c r="EW24" s="207"/>
      <c r="EX24" s="207"/>
      <c r="EY24" s="207"/>
      <c r="EZ24" s="207"/>
      <c r="FA24" s="207"/>
      <c r="FB24" s="202" t="e">
        <f t="shared" si="78"/>
        <v>#DIV/0!</v>
      </c>
      <c r="FC24" s="207"/>
      <c r="FD24" s="207"/>
      <c r="FE24" s="205">
        <v>12</v>
      </c>
      <c r="FF24" s="337" t="str">
        <f t="shared" si="79"/>
        <v>KOU12</v>
      </c>
      <c r="FG24" s="207">
        <v>0</v>
      </c>
      <c r="FH24" s="222">
        <v>0</v>
      </c>
      <c r="FI24" s="222">
        <v>0</v>
      </c>
      <c r="FJ24" s="222">
        <v>0</v>
      </c>
      <c r="FK24" s="217">
        <v>4</v>
      </c>
      <c r="FL24" s="217"/>
    </row>
    <row r="25" spans="1:168" s="204" customFormat="1" ht="22.5" customHeight="1" thickBot="1" x14ac:dyDescent="0.3">
      <c r="A25" s="205">
        <v>13</v>
      </c>
      <c r="B25" s="206" t="s">
        <v>550</v>
      </c>
      <c r="C25" s="207">
        <v>18</v>
      </c>
      <c r="D25" s="207">
        <v>39</v>
      </c>
      <c r="E25" s="252">
        <v>14</v>
      </c>
      <c r="F25" s="253">
        <f t="shared" si="67"/>
        <v>0.35897435897435898</v>
      </c>
      <c r="G25" s="207">
        <v>7</v>
      </c>
      <c r="H25" s="207">
        <v>38</v>
      </c>
      <c r="I25" s="207">
        <v>0</v>
      </c>
      <c r="J25" s="208">
        <f t="shared" si="56"/>
        <v>0</v>
      </c>
      <c r="K25" s="207">
        <v>0</v>
      </c>
      <c r="L25" s="208">
        <f t="shared" si="68"/>
        <v>0</v>
      </c>
      <c r="M25" s="207">
        <v>4</v>
      </c>
      <c r="N25" s="208">
        <f t="shared" si="57"/>
        <v>0.5714285714285714</v>
      </c>
      <c r="O25" s="209">
        <v>2</v>
      </c>
      <c r="P25" s="208">
        <f t="shared" si="80"/>
        <v>0.66666666666666663</v>
      </c>
      <c r="Q25" s="207">
        <v>0</v>
      </c>
      <c r="R25" s="208">
        <f t="shared" si="58"/>
        <v>0</v>
      </c>
      <c r="S25" s="207">
        <v>4</v>
      </c>
      <c r="T25" s="208">
        <f t="shared" si="59"/>
        <v>0.5714285714285714</v>
      </c>
      <c r="U25" s="207">
        <v>0</v>
      </c>
      <c r="V25" s="210">
        <f t="shared" si="60"/>
        <v>0</v>
      </c>
      <c r="W25" s="211">
        <v>13</v>
      </c>
      <c r="X25" s="339" t="str">
        <f t="shared" si="81"/>
        <v>KOU13</v>
      </c>
      <c r="Y25" s="212"/>
      <c r="Z25" s="212">
        <v>1</v>
      </c>
      <c r="AA25" s="212">
        <v>1</v>
      </c>
      <c r="AB25" s="212">
        <v>1</v>
      </c>
      <c r="AC25" s="212">
        <v>1</v>
      </c>
      <c r="AD25" s="212">
        <v>1</v>
      </c>
      <c r="AE25" s="212">
        <v>1</v>
      </c>
      <c r="AF25" s="212"/>
      <c r="AG25" s="213"/>
      <c r="AH25" s="188"/>
      <c r="AI25" s="211">
        <v>13</v>
      </c>
      <c r="AJ25" s="339" t="str">
        <f t="shared" si="69"/>
        <v>KOU13</v>
      </c>
      <c r="AK25" s="212">
        <v>4</v>
      </c>
      <c r="AL25" s="212">
        <v>0</v>
      </c>
      <c r="AM25" s="212" t="s">
        <v>170</v>
      </c>
      <c r="AN25" s="214" t="e">
        <f t="shared" si="87"/>
        <v>#VALUE!</v>
      </c>
      <c r="AO25" s="215" t="e">
        <f t="shared" si="61"/>
        <v>#VALUE!</v>
      </c>
      <c r="AP25" s="340" t="str">
        <f t="shared" si="70"/>
        <v>KOU13</v>
      </c>
      <c r="AQ25" s="212" t="s">
        <v>170</v>
      </c>
      <c r="AR25" s="212" t="s">
        <v>170</v>
      </c>
      <c r="AS25" s="212" t="s">
        <v>170</v>
      </c>
      <c r="AT25" s="212" t="s">
        <v>170</v>
      </c>
      <c r="AU25" s="212" t="s">
        <v>170</v>
      </c>
      <c r="AV25" s="223" t="s">
        <v>170</v>
      </c>
      <c r="AW25" s="213" t="s">
        <v>170</v>
      </c>
      <c r="AX25" s="188"/>
      <c r="AY25" s="211">
        <v>13</v>
      </c>
      <c r="AZ25" s="339" t="str">
        <f t="shared" si="71"/>
        <v>KOU13</v>
      </c>
      <c r="BA25" s="212">
        <v>5</v>
      </c>
      <c r="BB25" s="212"/>
      <c r="BC25" s="212"/>
      <c r="BD25" s="212"/>
      <c r="BE25" s="224"/>
      <c r="BF25" s="215"/>
      <c r="BG25" s="341" t="str">
        <f>+AZ25</f>
        <v>KOU13</v>
      </c>
      <c r="BH25" s="212"/>
      <c r="BI25" s="212">
        <v>3</v>
      </c>
      <c r="BJ25" s="212"/>
      <c r="BK25" s="212">
        <v>1</v>
      </c>
      <c r="BL25" s="212">
        <v>3</v>
      </c>
      <c r="BM25" s="212">
        <v>1</v>
      </c>
      <c r="BN25" s="223">
        <f>4/5</f>
        <v>0.8</v>
      </c>
      <c r="BO25" s="212" t="s">
        <v>170</v>
      </c>
      <c r="BP25" s="213"/>
      <c r="BQ25" s="188"/>
      <c r="BR25" s="205">
        <v>13</v>
      </c>
      <c r="BS25" s="342" t="str">
        <f t="shared" si="73"/>
        <v>KOU13</v>
      </c>
      <c r="BT25" s="207">
        <v>2</v>
      </c>
      <c r="BU25" s="275"/>
      <c r="BV25" s="207">
        <v>0</v>
      </c>
      <c r="BW25" s="207" t="s">
        <v>170</v>
      </c>
      <c r="BX25" s="216" t="s">
        <v>170</v>
      </c>
      <c r="BY25" s="208" t="s">
        <v>170</v>
      </c>
      <c r="BZ25" s="342" t="str">
        <f>+BS25</f>
        <v>KOU13</v>
      </c>
      <c r="CA25" s="207">
        <v>1</v>
      </c>
      <c r="CB25" s="207" t="s">
        <v>170</v>
      </c>
      <c r="CC25" s="207" t="s">
        <v>170</v>
      </c>
      <c r="CD25" s="207" t="s">
        <v>170</v>
      </c>
      <c r="CE25" s="207" t="s">
        <v>170</v>
      </c>
      <c r="CF25" s="217" t="s">
        <v>170</v>
      </c>
      <c r="CG25" s="195"/>
      <c r="CH25" s="205">
        <v>13</v>
      </c>
      <c r="CI25" s="207" t="str">
        <f t="shared" si="74"/>
        <v>KOU13</v>
      </c>
      <c r="CJ25" s="207"/>
      <c r="CK25" s="207"/>
      <c r="CL25" s="343" t="str">
        <f t="shared" si="75"/>
        <v>KOU13</v>
      </c>
      <c r="CM25" s="207">
        <v>1500</v>
      </c>
      <c r="CN25" s="207"/>
      <c r="CO25" s="207">
        <v>0</v>
      </c>
      <c r="CP25" s="210">
        <f t="shared" si="65"/>
        <v>0</v>
      </c>
      <c r="CQ25" s="196"/>
      <c r="CR25" s="205">
        <v>13</v>
      </c>
      <c r="CS25" s="344" t="str">
        <f t="shared" si="82"/>
        <v>KOU13</v>
      </c>
      <c r="CT25" s="218"/>
      <c r="CU25" s="218"/>
      <c r="CV25" s="218"/>
      <c r="CW25" s="218"/>
      <c r="CX25" s="218"/>
      <c r="CY25" s="218"/>
      <c r="CZ25" s="218"/>
      <c r="DA25" s="218"/>
      <c r="DB25" s="218"/>
      <c r="DC25" s="219"/>
      <c r="DD25" s="188"/>
      <c r="DE25" s="205">
        <v>13</v>
      </c>
      <c r="DF25" s="344" t="str">
        <f t="shared" si="76"/>
        <v>KOU13</v>
      </c>
      <c r="DG25" s="207">
        <v>3</v>
      </c>
      <c r="DH25" s="207">
        <v>1</v>
      </c>
      <c r="DI25" s="207"/>
      <c r="DJ25" s="207"/>
      <c r="DK25" s="207"/>
      <c r="DL25" s="344" t="str">
        <f t="shared" si="66"/>
        <v>KOU13</v>
      </c>
      <c r="DM25" s="207"/>
      <c r="DN25" s="220"/>
      <c r="DO25" s="207"/>
      <c r="DP25" s="207"/>
      <c r="DQ25" s="222"/>
      <c r="DR25" s="217"/>
      <c r="DS25" s="188"/>
      <c r="DT25" s="205">
        <v>13</v>
      </c>
      <c r="DU25" s="337" t="str">
        <f t="shared" si="83"/>
        <v>KOU13</v>
      </c>
      <c r="DV25" s="212">
        <v>1</v>
      </c>
      <c r="DW25" s="212"/>
      <c r="DX25" s="212"/>
      <c r="DY25" s="188"/>
      <c r="DZ25" s="205">
        <v>13</v>
      </c>
      <c r="EA25" s="344" t="str">
        <f t="shared" si="77"/>
        <v>KOU13</v>
      </c>
      <c r="EB25" s="207"/>
      <c r="EC25" s="207"/>
      <c r="ED25" s="220" t="e">
        <f t="shared" si="84"/>
        <v>#DIV/0!</v>
      </c>
      <c r="EE25" s="207"/>
      <c r="EF25" s="220" t="e">
        <f t="shared" si="85"/>
        <v>#DIV/0!</v>
      </c>
      <c r="EG25" s="207"/>
      <c r="EH25" s="207"/>
      <c r="EI25" s="207"/>
      <c r="EJ25" s="207"/>
      <c r="EK25" s="207"/>
      <c r="EL25" s="207"/>
      <c r="EM25" s="207"/>
      <c r="EN25" s="207"/>
      <c r="EO25" s="207"/>
      <c r="EP25" s="217">
        <v>3.76</v>
      </c>
      <c r="EQ25" s="288">
        <v>0</v>
      </c>
      <c r="ER25" s="289"/>
      <c r="ES25" s="188"/>
      <c r="ET25" s="201"/>
      <c r="EU25" s="338" t="str">
        <f t="shared" si="88"/>
        <v>KOU13</v>
      </c>
      <c r="EV25" s="207"/>
      <c r="EW25" s="207"/>
      <c r="EX25" s="207"/>
      <c r="EY25" s="207"/>
      <c r="EZ25" s="207"/>
      <c r="FA25" s="207"/>
      <c r="FB25" s="202" t="e">
        <f t="shared" si="78"/>
        <v>#DIV/0!</v>
      </c>
      <c r="FC25" s="207"/>
      <c r="FD25" s="207"/>
      <c r="FE25" s="205">
        <v>13</v>
      </c>
      <c r="FF25" s="337" t="str">
        <f t="shared" si="79"/>
        <v>KOU13</v>
      </c>
      <c r="FG25" s="207">
        <v>0</v>
      </c>
      <c r="FH25" s="222">
        <v>0</v>
      </c>
      <c r="FI25" s="222">
        <v>0</v>
      </c>
      <c r="FJ25" s="222">
        <v>0</v>
      </c>
      <c r="FK25" s="217">
        <v>1</v>
      </c>
      <c r="FL25" s="217"/>
    </row>
    <row r="26" spans="1:168" s="204" customFormat="1" ht="22.5" customHeight="1" thickBot="1" x14ac:dyDescent="0.3">
      <c r="A26" s="205">
        <v>14</v>
      </c>
      <c r="B26" s="206" t="s">
        <v>551</v>
      </c>
      <c r="C26" s="207">
        <v>19</v>
      </c>
      <c r="D26" s="207">
        <v>94</v>
      </c>
      <c r="E26" s="252">
        <v>12</v>
      </c>
      <c r="F26" s="253">
        <f t="shared" si="67"/>
        <v>0.1276595744680851</v>
      </c>
      <c r="G26" s="207">
        <v>7</v>
      </c>
      <c r="H26" s="207">
        <v>27</v>
      </c>
      <c r="I26" s="207">
        <v>3</v>
      </c>
      <c r="J26" s="208">
        <f t="shared" si="56"/>
        <v>0.42857142857142855</v>
      </c>
      <c r="K26" s="207">
        <v>2</v>
      </c>
      <c r="L26" s="208">
        <f t="shared" si="68"/>
        <v>0.66666666666666663</v>
      </c>
      <c r="M26" s="207">
        <v>2</v>
      </c>
      <c r="N26" s="208">
        <f t="shared" si="57"/>
        <v>0.2857142857142857</v>
      </c>
      <c r="O26" s="209">
        <v>1</v>
      </c>
      <c r="P26" s="208">
        <f t="shared" si="80"/>
        <v>0.33333333333333331</v>
      </c>
      <c r="Q26" s="207">
        <v>0</v>
      </c>
      <c r="R26" s="208">
        <f t="shared" si="58"/>
        <v>0</v>
      </c>
      <c r="S26" s="207">
        <v>3</v>
      </c>
      <c r="T26" s="208">
        <f t="shared" si="59"/>
        <v>0.42857142857142855</v>
      </c>
      <c r="U26" s="207">
        <v>0</v>
      </c>
      <c r="V26" s="210">
        <f t="shared" si="60"/>
        <v>0</v>
      </c>
      <c r="W26" s="211">
        <v>14</v>
      </c>
      <c r="X26" s="339" t="str">
        <f t="shared" si="81"/>
        <v>KOU14</v>
      </c>
      <c r="Y26" s="212"/>
      <c r="Z26" s="212">
        <v>1</v>
      </c>
      <c r="AA26" s="212">
        <v>1</v>
      </c>
      <c r="AB26" s="212"/>
      <c r="AC26" s="212"/>
      <c r="AD26" s="212"/>
      <c r="AE26" s="212"/>
      <c r="AF26" s="212"/>
      <c r="AG26" s="213"/>
      <c r="AH26" s="188"/>
      <c r="AI26" s="211">
        <v>14</v>
      </c>
      <c r="AJ26" s="339" t="str">
        <f t="shared" si="69"/>
        <v>KOU14</v>
      </c>
      <c r="AK26" s="212" t="s">
        <v>537</v>
      </c>
      <c r="AL26" s="212"/>
      <c r="AM26" s="212"/>
      <c r="AN26" s="214" t="e">
        <f t="shared" si="87"/>
        <v>#DIV/0!</v>
      </c>
      <c r="AO26" s="215" t="e">
        <f t="shared" si="61"/>
        <v>#DIV/0!</v>
      </c>
      <c r="AP26" s="340" t="str">
        <f t="shared" si="70"/>
        <v>KOU14</v>
      </c>
      <c r="AQ26" s="212"/>
      <c r="AR26" s="212"/>
      <c r="AS26" s="212"/>
      <c r="AT26" s="212"/>
      <c r="AU26" s="212"/>
      <c r="AV26" s="223"/>
      <c r="AW26" s="213"/>
      <c r="AX26" s="188"/>
      <c r="AY26" s="211">
        <v>14</v>
      </c>
      <c r="AZ26" s="339" t="str">
        <f t="shared" si="71"/>
        <v>KOU14</v>
      </c>
      <c r="BA26" s="212">
        <v>5</v>
      </c>
      <c r="BB26" s="212"/>
      <c r="BC26" s="212"/>
      <c r="BD26" s="212"/>
      <c r="BE26" s="214" t="e">
        <f t="shared" si="72"/>
        <v>#DIV/0!</v>
      </c>
      <c r="BF26" s="215" t="e">
        <f t="shared" si="62"/>
        <v>#DIV/0!</v>
      </c>
      <c r="BG26" s="341" t="str">
        <f>+AZ26</f>
        <v>KOU14</v>
      </c>
      <c r="BH26" s="212"/>
      <c r="BI26" s="212"/>
      <c r="BJ26" s="212"/>
      <c r="BK26" s="212"/>
      <c r="BL26" s="212">
        <v>3</v>
      </c>
      <c r="BM26" s="212"/>
      <c r="BN26" s="212"/>
      <c r="BO26" s="212" t="s">
        <v>170</v>
      </c>
      <c r="BP26" s="213"/>
      <c r="BQ26" s="188"/>
      <c r="BR26" s="205">
        <v>14</v>
      </c>
      <c r="BS26" s="342" t="str">
        <f t="shared" si="73"/>
        <v>KOU14</v>
      </c>
      <c r="BT26" s="207">
        <v>2</v>
      </c>
      <c r="BU26" s="275"/>
      <c r="BV26" s="207"/>
      <c r="BW26" s="207"/>
      <c r="BX26" s="216" t="e">
        <f>+BW26/BV26</f>
        <v>#DIV/0!</v>
      </c>
      <c r="BY26" s="208" t="e">
        <f>BX26/BT26</f>
        <v>#DIV/0!</v>
      </c>
      <c r="BZ26" s="342" t="str">
        <f>+BS26</f>
        <v>KOU14</v>
      </c>
      <c r="CA26" s="207">
        <v>1</v>
      </c>
      <c r="CB26" s="207"/>
      <c r="CC26" s="207"/>
      <c r="CD26" s="207"/>
      <c r="CE26" s="207"/>
      <c r="CF26" s="217"/>
      <c r="CG26" s="195"/>
      <c r="CH26" s="205">
        <v>14</v>
      </c>
      <c r="CI26" s="207" t="str">
        <f t="shared" si="74"/>
        <v>KOU14</v>
      </c>
      <c r="CJ26" s="207">
        <v>3</v>
      </c>
      <c r="CK26" s="207"/>
      <c r="CL26" s="343" t="str">
        <f t="shared" si="75"/>
        <v>KOU14</v>
      </c>
      <c r="CM26" s="207">
        <v>1000</v>
      </c>
      <c r="CN26" s="207">
        <v>500</v>
      </c>
      <c r="CO26" s="207"/>
      <c r="CP26" s="210">
        <f t="shared" si="65"/>
        <v>0</v>
      </c>
      <c r="CQ26" s="196"/>
      <c r="CR26" s="205">
        <v>14</v>
      </c>
      <c r="CS26" s="344" t="str">
        <f t="shared" si="82"/>
        <v>KOU14</v>
      </c>
      <c r="CT26" s="218"/>
      <c r="CU26" s="218">
        <v>1</v>
      </c>
      <c r="CV26" s="218"/>
      <c r="CW26" s="218"/>
      <c r="CX26" s="218"/>
      <c r="CY26" s="218"/>
      <c r="CZ26" s="218"/>
      <c r="DA26" s="218"/>
      <c r="DB26" s="218"/>
      <c r="DC26" s="219"/>
      <c r="DD26" s="188"/>
      <c r="DE26" s="205">
        <v>14</v>
      </c>
      <c r="DF26" s="344" t="str">
        <f t="shared" si="76"/>
        <v>KOU14</v>
      </c>
      <c r="DG26" s="207"/>
      <c r="DH26" s="207"/>
      <c r="DI26" s="207"/>
      <c r="DJ26" s="207"/>
      <c r="DK26" s="207"/>
      <c r="DL26" s="344" t="str">
        <f t="shared" si="66"/>
        <v>KOU14</v>
      </c>
      <c r="DM26" s="207"/>
      <c r="DN26" s="220"/>
      <c r="DO26" s="207"/>
      <c r="DP26" s="207"/>
      <c r="DQ26" s="222"/>
      <c r="DR26" s="217"/>
      <c r="DS26" s="188"/>
      <c r="DT26" s="205">
        <v>14</v>
      </c>
      <c r="DU26" s="337" t="str">
        <f t="shared" si="83"/>
        <v>KOU14</v>
      </c>
      <c r="DV26" s="212"/>
      <c r="DW26" s="212"/>
      <c r="DX26" s="212"/>
      <c r="DY26" s="188"/>
      <c r="DZ26" s="205">
        <v>14</v>
      </c>
      <c r="EA26" s="344" t="str">
        <f t="shared" si="77"/>
        <v>KOU14</v>
      </c>
      <c r="EB26" s="207"/>
      <c r="EC26" s="207"/>
      <c r="ED26" s="220" t="e">
        <f t="shared" si="84"/>
        <v>#DIV/0!</v>
      </c>
      <c r="EE26" s="207"/>
      <c r="EF26" s="220" t="e">
        <f t="shared" si="85"/>
        <v>#DIV/0!</v>
      </c>
      <c r="EG26" s="207"/>
      <c r="EH26" s="207"/>
      <c r="EI26" s="207"/>
      <c r="EJ26" s="207"/>
      <c r="EK26" s="207"/>
      <c r="EL26" s="207"/>
      <c r="EM26" s="207"/>
      <c r="EN26" s="207"/>
      <c r="EO26" s="207"/>
      <c r="EP26" s="217">
        <v>8.6989999999999998</v>
      </c>
      <c r="EQ26" s="288">
        <v>0</v>
      </c>
      <c r="ER26" s="289">
        <f t="shared" si="86"/>
        <v>0</v>
      </c>
      <c r="ES26" s="188"/>
      <c r="ET26" s="201"/>
      <c r="EU26" s="338" t="str">
        <f t="shared" si="88"/>
        <v>KOU14</v>
      </c>
      <c r="EV26" s="207"/>
      <c r="EW26" s="207"/>
      <c r="EX26" s="207"/>
      <c r="EY26" s="207"/>
      <c r="EZ26" s="207"/>
      <c r="FA26" s="207"/>
      <c r="FB26" s="202" t="e">
        <f t="shared" si="78"/>
        <v>#DIV/0!</v>
      </c>
      <c r="FC26" s="207"/>
      <c r="FD26" s="207"/>
      <c r="FE26" s="205">
        <v>14</v>
      </c>
      <c r="FF26" s="337" t="str">
        <f t="shared" si="79"/>
        <v>KOU14</v>
      </c>
      <c r="FG26" s="207"/>
      <c r="FH26" s="222"/>
      <c r="FI26" s="222"/>
      <c r="FJ26" s="222"/>
      <c r="FK26" s="217"/>
      <c r="FL26" s="240"/>
    </row>
    <row r="27" spans="1:168" s="204" customFormat="1" ht="22.5" customHeight="1" thickBot="1" x14ac:dyDescent="0.3">
      <c r="A27" s="227">
        <v>15</v>
      </c>
      <c r="B27" s="206" t="s">
        <v>552</v>
      </c>
      <c r="C27" s="228">
        <v>14</v>
      </c>
      <c r="D27" s="228">
        <v>92</v>
      </c>
      <c r="E27" s="252">
        <v>4</v>
      </c>
      <c r="F27" s="253">
        <f t="shared" si="67"/>
        <v>4.3478260869565216E-2</v>
      </c>
      <c r="G27" s="228">
        <v>9</v>
      </c>
      <c r="H27" s="228">
        <v>34</v>
      </c>
      <c r="I27" s="228">
        <v>4</v>
      </c>
      <c r="J27" s="229">
        <f t="shared" si="56"/>
        <v>0.44444444444444442</v>
      </c>
      <c r="K27" s="228">
        <v>1</v>
      </c>
      <c r="L27" s="229">
        <f t="shared" si="68"/>
        <v>0.33333333333333331</v>
      </c>
      <c r="M27" s="228">
        <v>4</v>
      </c>
      <c r="N27" s="229">
        <f t="shared" si="57"/>
        <v>0.44444444444444442</v>
      </c>
      <c r="O27" s="230">
        <v>2</v>
      </c>
      <c r="P27" s="229">
        <f t="shared" si="80"/>
        <v>0.66666666666666663</v>
      </c>
      <c r="Q27" s="228">
        <v>3</v>
      </c>
      <c r="R27" s="229">
        <f t="shared" si="58"/>
        <v>0.33333333333333331</v>
      </c>
      <c r="S27" s="228">
        <v>4</v>
      </c>
      <c r="T27" s="229">
        <f t="shared" si="59"/>
        <v>0.44444444444444442</v>
      </c>
      <c r="U27" s="228">
        <v>1</v>
      </c>
      <c r="V27" s="231">
        <f t="shared" si="60"/>
        <v>0.1111111111111111</v>
      </c>
      <c r="W27" s="232">
        <v>15</v>
      </c>
      <c r="X27" s="345" t="str">
        <f t="shared" si="81"/>
        <v>KOU15</v>
      </c>
      <c r="Y27" s="233">
        <v>2</v>
      </c>
      <c r="Z27" s="233">
        <v>1</v>
      </c>
      <c r="AA27" s="233">
        <v>1</v>
      </c>
      <c r="AB27" s="233">
        <v>2</v>
      </c>
      <c r="AC27" s="233">
        <v>1</v>
      </c>
      <c r="AD27" s="233">
        <v>1</v>
      </c>
      <c r="AE27" s="233">
        <v>1</v>
      </c>
      <c r="AF27" s="233">
        <v>1</v>
      </c>
      <c r="AG27" s="234">
        <v>1</v>
      </c>
      <c r="AH27" s="188"/>
      <c r="AI27" s="232">
        <v>15</v>
      </c>
      <c r="AJ27" s="345" t="str">
        <f t="shared" si="69"/>
        <v>KOU15</v>
      </c>
      <c r="AK27" s="233">
        <v>2</v>
      </c>
      <c r="AL27" s="233">
        <v>1</v>
      </c>
      <c r="AM27" s="233">
        <v>60</v>
      </c>
      <c r="AN27" s="214">
        <f t="shared" si="87"/>
        <v>60</v>
      </c>
      <c r="AO27" s="215">
        <f t="shared" si="61"/>
        <v>0.65217391304347827</v>
      </c>
      <c r="AP27" s="346" t="str">
        <f t="shared" si="70"/>
        <v>KOU15</v>
      </c>
      <c r="AQ27" s="233">
        <v>1</v>
      </c>
      <c r="AR27" s="233">
        <v>3</v>
      </c>
      <c r="AS27" s="233">
        <v>1</v>
      </c>
      <c r="AT27" s="233">
        <v>3</v>
      </c>
      <c r="AU27" s="233">
        <v>1</v>
      </c>
      <c r="AV27" s="236">
        <v>0.5</v>
      </c>
      <c r="AW27" s="234" t="s">
        <v>170</v>
      </c>
      <c r="AX27" s="237"/>
      <c r="AY27" s="232">
        <v>15</v>
      </c>
      <c r="AZ27" s="345" t="str">
        <f t="shared" si="71"/>
        <v>KOU15</v>
      </c>
      <c r="BA27" s="233">
        <v>7</v>
      </c>
      <c r="BB27" s="233">
        <v>0</v>
      </c>
      <c r="BC27" s="233">
        <v>2</v>
      </c>
      <c r="BD27" s="233">
        <v>14</v>
      </c>
      <c r="BE27" s="238">
        <f t="shared" si="72"/>
        <v>7</v>
      </c>
      <c r="BF27" s="235">
        <f t="shared" si="62"/>
        <v>1</v>
      </c>
      <c r="BG27" s="347" t="str">
        <f>+AZ27</f>
        <v>KOU15</v>
      </c>
      <c r="BH27" s="233">
        <v>1</v>
      </c>
      <c r="BI27" s="233" t="s">
        <v>531</v>
      </c>
      <c r="BJ27" s="233">
        <v>3</v>
      </c>
      <c r="BK27" s="233">
        <v>1</v>
      </c>
      <c r="BL27" s="233">
        <v>3</v>
      </c>
      <c r="BM27" s="233">
        <v>1</v>
      </c>
      <c r="BN27" s="223">
        <f>5/7</f>
        <v>0.7142857142857143</v>
      </c>
      <c r="BO27" s="233" t="s">
        <v>170</v>
      </c>
      <c r="BP27" s="234">
        <v>1</v>
      </c>
      <c r="BQ27" s="188"/>
      <c r="BR27" s="227">
        <v>15</v>
      </c>
      <c r="BS27" s="348" t="str">
        <f t="shared" si="73"/>
        <v>KOU15</v>
      </c>
      <c r="BT27" s="228">
        <v>2</v>
      </c>
      <c r="BU27" s="275"/>
      <c r="BV27" s="228">
        <v>0</v>
      </c>
      <c r="BW27" s="228" t="s">
        <v>170</v>
      </c>
      <c r="BX27" s="239" t="s">
        <v>170</v>
      </c>
      <c r="BY27" s="229" t="s">
        <v>170</v>
      </c>
      <c r="BZ27" s="348" t="str">
        <f>+BS27</f>
        <v>KOU15</v>
      </c>
      <c r="CA27" s="228">
        <v>1</v>
      </c>
      <c r="CB27" s="228" t="s">
        <v>170</v>
      </c>
      <c r="CC27" s="228" t="s">
        <v>170</v>
      </c>
      <c r="CD27" s="228" t="s">
        <v>170</v>
      </c>
      <c r="CE27" s="228" t="s">
        <v>170</v>
      </c>
      <c r="CF27" s="240" t="s">
        <v>170</v>
      </c>
      <c r="CG27" s="195"/>
      <c r="CH27" s="227">
        <v>15</v>
      </c>
      <c r="CI27" s="228" t="str">
        <f t="shared" si="74"/>
        <v>KOU15</v>
      </c>
      <c r="CJ27" s="228">
        <v>3</v>
      </c>
      <c r="CK27" s="228" t="s">
        <v>531</v>
      </c>
      <c r="CL27" s="349" t="str">
        <f t="shared" si="75"/>
        <v>KOU15</v>
      </c>
      <c r="CM27" s="228">
        <v>2000</v>
      </c>
      <c r="CN27" s="228"/>
      <c r="CO27" s="228"/>
      <c r="CP27" s="231">
        <f t="shared" si="65"/>
        <v>0</v>
      </c>
      <c r="CQ27" s="196"/>
      <c r="CR27" s="227">
        <v>15</v>
      </c>
      <c r="CS27" s="350" t="str">
        <f t="shared" si="82"/>
        <v>KOU15</v>
      </c>
      <c r="CT27" s="241"/>
      <c r="CU27" s="241">
        <v>1</v>
      </c>
      <c r="CV27" s="241"/>
      <c r="CW27" s="241"/>
      <c r="CX27" s="241"/>
      <c r="CY27" s="241"/>
      <c r="CZ27" s="241"/>
      <c r="DA27" s="241"/>
      <c r="DB27" s="241"/>
      <c r="DC27" s="242"/>
      <c r="DD27" s="188"/>
      <c r="DE27" s="227">
        <v>15</v>
      </c>
      <c r="DF27" s="350" t="str">
        <f t="shared" si="76"/>
        <v>KOU15</v>
      </c>
      <c r="DG27" s="228">
        <v>1</v>
      </c>
      <c r="DH27" s="228">
        <v>1</v>
      </c>
      <c r="DI27" s="228"/>
      <c r="DJ27" s="228"/>
      <c r="DK27" s="228"/>
      <c r="DL27" s="350" t="str">
        <f t="shared" si="66"/>
        <v>KOU15</v>
      </c>
      <c r="DM27" s="228"/>
      <c r="DN27" s="243"/>
      <c r="DO27" s="228"/>
      <c r="DP27" s="228"/>
      <c r="DQ27" s="244"/>
      <c r="DR27" s="240"/>
      <c r="DS27" s="188"/>
      <c r="DT27" s="227">
        <v>15</v>
      </c>
      <c r="DU27" s="337" t="str">
        <f t="shared" si="83"/>
        <v>KOU15</v>
      </c>
      <c r="DV27" s="233">
        <v>2</v>
      </c>
      <c r="DW27" s="233">
        <v>0</v>
      </c>
      <c r="DX27" s="233">
        <v>3</v>
      </c>
      <c r="DY27" s="188"/>
      <c r="DZ27" s="227">
        <v>15</v>
      </c>
      <c r="EA27" s="350" t="str">
        <f t="shared" si="77"/>
        <v>KOU15</v>
      </c>
      <c r="EB27" s="228">
        <f>373+166</f>
        <v>539</v>
      </c>
      <c r="EC27" s="228">
        <v>539</v>
      </c>
      <c r="ED27" s="243">
        <f t="shared" si="84"/>
        <v>1</v>
      </c>
      <c r="EE27" s="228">
        <v>539</v>
      </c>
      <c r="EF27" s="243">
        <f t="shared" si="85"/>
        <v>1</v>
      </c>
      <c r="EG27" s="228">
        <v>6.468</v>
      </c>
      <c r="EH27" s="228"/>
      <c r="EI27" s="228"/>
      <c r="EJ27" s="228"/>
      <c r="EK27" s="228"/>
      <c r="EL27" s="228"/>
      <c r="EM27" s="228"/>
      <c r="EN27" s="228"/>
      <c r="EO27" s="228"/>
      <c r="EP27" s="240">
        <v>11.6616</v>
      </c>
      <c r="EQ27" s="288">
        <v>0</v>
      </c>
      <c r="ER27" s="289">
        <f t="shared" si="86"/>
        <v>0</v>
      </c>
      <c r="ES27" s="188"/>
      <c r="ET27" s="201"/>
      <c r="EU27" s="338" t="str">
        <f t="shared" si="88"/>
        <v>KOU15</v>
      </c>
      <c r="EV27" s="228"/>
      <c r="EW27" s="228"/>
      <c r="EX27" s="228"/>
      <c r="EY27" s="228"/>
      <c r="EZ27" s="228"/>
      <c r="FA27" s="228"/>
      <c r="FB27" s="202" t="e">
        <f t="shared" si="78"/>
        <v>#DIV/0!</v>
      </c>
      <c r="FC27" s="228"/>
      <c r="FD27" s="228"/>
      <c r="FE27" s="227">
        <v>15</v>
      </c>
      <c r="FF27" s="337" t="str">
        <f t="shared" si="79"/>
        <v>KOU15</v>
      </c>
      <c r="FG27" s="228">
        <v>1</v>
      </c>
      <c r="FH27" s="244">
        <v>0</v>
      </c>
      <c r="FI27" s="244">
        <v>0</v>
      </c>
      <c r="FJ27" s="244">
        <v>0</v>
      </c>
      <c r="FK27" s="240">
        <v>1</v>
      </c>
    </row>
    <row r="28" spans="1:168" ht="7.15" customHeight="1" x14ac:dyDescent="0.25">
      <c r="R28" s="246"/>
    </row>
    <row r="29" spans="1:168" ht="17.649999999999999" customHeight="1" x14ac:dyDescent="0.25">
      <c r="B29" s="728" t="s">
        <v>171</v>
      </c>
      <c r="C29" s="722" t="s">
        <v>172</v>
      </c>
      <c r="D29" s="722" t="s">
        <v>172</v>
      </c>
      <c r="E29" s="268"/>
      <c r="F29" s="268"/>
      <c r="G29" s="722" t="s">
        <v>172</v>
      </c>
      <c r="H29" s="722" t="s">
        <v>172</v>
      </c>
      <c r="I29" s="722" t="s">
        <v>172</v>
      </c>
      <c r="J29" s="722" t="s">
        <v>172</v>
      </c>
      <c r="K29" s="722" t="s">
        <v>172</v>
      </c>
      <c r="L29" s="722" t="s">
        <v>172</v>
      </c>
      <c r="M29" s="722" t="s">
        <v>172</v>
      </c>
      <c r="N29" s="722" t="s">
        <v>172</v>
      </c>
      <c r="O29" s="722" t="s">
        <v>172</v>
      </c>
      <c r="P29" s="722" t="s">
        <v>172</v>
      </c>
      <c r="Q29" s="722" t="s">
        <v>172</v>
      </c>
      <c r="R29" s="722" t="s">
        <v>172</v>
      </c>
      <c r="S29" s="722" t="s">
        <v>172</v>
      </c>
      <c r="T29" s="722" t="s">
        <v>172</v>
      </c>
      <c r="U29" s="722" t="s">
        <v>172</v>
      </c>
      <c r="V29" s="722" t="s">
        <v>172</v>
      </c>
      <c r="X29" s="728" t="s">
        <v>171</v>
      </c>
      <c r="Y29" s="722" t="s">
        <v>173</v>
      </c>
      <c r="Z29" s="722" t="s">
        <v>173</v>
      </c>
      <c r="AA29" s="729" t="s">
        <v>174</v>
      </c>
      <c r="AB29" s="729" t="s">
        <v>175</v>
      </c>
      <c r="AC29" s="729" t="s">
        <v>173</v>
      </c>
      <c r="AD29" s="729" t="s">
        <v>174</v>
      </c>
      <c r="AE29" s="729" t="s">
        <v>175</v>
      </c>
      <c r="AF29" s="722" t="s">
        <v>173</v>
      </c>
      <c r="AG29" s="722" t="s">
        <v>173</v>
      </c>
      <c r="AH29" s="328"/>
      <c r="AJ29" s="728" t="s">
        <v>171</v>
      </c>
      <c r="AK29" s="722" t="s">
        <v>172</v>
      </c>
      <c r="AL29" s="722" t="s">
        <v>172</v>
      </c>
      <c r="AM29" s="722" t="s">
        <v>172</v>
      </c>
      <c r="AN29" s="328"/>
      <c r="AO29" s="722" t="s">
        <v>172</v>
      </c>
      <c r="AP29" s="728" t="s">
        <v>171</v>
      </c>
      <c r="AQ29" s="730" t="s">
        <v>176</v>
      </c>
      <c r="AR29" s="730" t="s">
        <v>177</v>
      </c>
      <c r="AS29" s="722" t="s">
        <v>178</v>
      </c>
      <c r="AT29" s="722" t="s">
        <v>179</v>
      </c>
      <c r="AU29" s="729" t="s">
        <v>173</v>
      </c>
      <c r="AV29" s="722"/>
      <c r="AW29" s="730" t="s">
        <v>180</v>
      </c>
      <c r="AX29" s="330"/>
      <c r="AZ29" s="728" t="s">
        <v>171</v>
      </c>
      <c r="BA29" s="722" t="s">
        <v>172</v>
      </c>
      <c r="BB29" s="722" t="s">
        <v>172</v>
      </c>
      <c r="BC29" s="722" t="s">
        <v>172</v>
      </c>
      <c r="BD29" s="722" t="s">
        <v>172</v>
      </c>
      <c r="BE29" s="328"/>
      <c r="BF29" s="328"/>
      <c r="BG29" s="728" t="s">
        <v>171</v>
      </c>
      <c r="BH29" s="722" t="s">
        <v>181</v>
      </c>
      <c r="BI29" s="722" t="s">
        <v>182</v>
      </c>
      <c r="BJ29" s="730" t="s">
        <v>177</v>
      </c>
      <c r="BK29" s="730" t="s">
        <v>183</v>
      </c>
      <c r="BL29" s="722" t="s">
        <v>184</v>
      </c>
      <c r="BM29" s="729" t="s">
        <v>173</v>
      </c>
      <c r="BN29" s="722" t="s">
        <v>172</v>
      </c>
      <c r="BO29" s="328"/>
      <c r="BP29" s="730" t="s">
        <v>185</v>
      </c>
      <c r="CP29" s="328"/>
      <c r="CQ29" s="249"/>
      <c r="CR29" s="328"/>
      <c r="CS29" s="328"/>
      <c r="CT29" s="722" t="s">
        <v>186</v>
      </c>
      <c r="CU29" s="328"/>
      <c r="CV29" s="328"/>
      <c r="CW29" s="328"/>
      <c r="CX29" s="328"/>
      <c r="CY29" s="328"/>
      <c r="CZ29" s="328"/>
      <c r="DA29" s="328"/>
      <c r="DB29" s="328"/>
      <c r="DC29" s="328"/>
      <c r="DD29" s="328"/>
      <c r="EA29" s="728" t="s">
        <v>171</v>
      </c>
      <c r="EB29" s="722" t="s">
        <v>172</v>
      </c>
      <c r="EC29" s="722" t="s">
        <v>172</v>
      </c>
      <c r="ED29" s="722" t="s">
        <v>172</v>
      </c>
      <c r="EE29" s="722" t="s">
        <v>172</v>
      </c>
      <c r="EF29" s="722" t="s">
        <v>172</v>
      </c>
      <c r="EG29" s="722" t="s">
        <v>172</v>
      </c>
      <c r="EH29" s="722" t="s">
        <v>172</v>
      </c>
      <c r="EI29" s="722" t="s">
        <v>172</v>
      </c>
      <c r="EJ29" s="722" t="s">
        <v>172</v>
      </c>
      <c r="EK29" s="722" t="s">
        <v>172</v>
      </c>
      <c r="EL29" s="722" t="s">
        <v>172</v>
      </c>
      <c r="EM29" s="722" t="s">
        <v>172</v>
      </c>
      <c r="EN29" s="722" t="s">
        <v>172</v>
      </c>
      <c r="EO29" s="722" t="s">
        <v>172</v>
      </c>
      <c r="EP29" s="722" t="s">
        <v>172</v>
      </c>
      <c r="EQ29" s="268"/>
      <c r="EU29" s="728" t="s">
        <v>171</v>
      </c>
      <c r="EV29" s="722" t="s">
        <v>172</v>
      </c>
      <c r="EW29" s="722" t="s">
        <v>172</v>
      </c>
      <c r="EX29" s="722" t="s">
        <v>172</v>
      </c>
      <c r="EY29" s="722" t="s">
        <v>172</v>
      </c>
      <c r="EZ29" s="722" t="s">
        <v>172</v>
      </c>
      <c r="FA29" s="722" t="s">
        <v>172</v>
      </c>
      <c r="FB29" s="328"/>
      <c r="FC29" s="722" t="s">
        <v>172</v>
      </c>
      <c r="FD29" s="722" t="s">
        <v>172</v>
      </c>
      <c r="FF29" s="722" t="s">
        <v>172</v>
      </c>
      <c r="FG29" s="722" t="s">
        <v>172</v>
      </c>
      <c r="FH29" s="328"/>
      <c r="FI29" s="328"/>
      <c r="FJ29" s="328"/>
      <c r="FK29" s="722" t="s">
        <v>172</v>
      </c>
    </row>
    <row r="30" spans="1:168" x14ac:dyDescent="0.25">
      <c r="B30" s="728"/>
      <c r="C30" s="722"/>
      <c r="D30" s="722"/>
      <c r="E30" s="268"/>
      <c r="F30" s="268"/>
      <c r="G30" s="722"/>
      <c r="H30" s="722"/>
      <c r="I30" s="722"/>
      <c r="J30" s="722"/>
      <c r="K30" s="722"/>
      <c r="L30" s="722"/>
      <c r="M30" s="722"/>
      <c r="N30" s="722"/>
      <c r="O30" s="722"/>
      <c r="P30" s="722"/>
      <c r="Q30" s="722"/>
      <c r="R30" s="722"/>
      <c r="S30" s="722"/>
      <c r="T30" s="722"/>
      <c r="U30" s="722"/>
      <c r="V30" s="722"/>
      <c r="X30" s="728"/>
      <c r="Y30" s="722"/>
      <c r="Z30" s="722"/>
      <c r="AA30" s="729"/>
      <c r="AB30" s="729"/>
      <c r="AC30" s="729"/>
      <c r="AD30" s="729"/>
      <c r="AE30" s="729"/>
      <c r="AF30" s="722"/>
      <c r="AG30" s="722"/>
      <c r="AH30" s="328"/>
      <c r="AJ30" s="728"/>
      <c r="AK30" s="722"/>
      <c r="AL30" s="722"/>
      <c r="AM30" s="722"/>
      <c r="AN30" s="328"/>
      <c r="AO30" s="722"/>
      <c r="AP30" s="728"/>
      <c r="AQ30" s="722"/>
      <c r="AR30" s="722"/>
      <c r="AS30" s="722"/>
      <c r="AT30" s="722"/>
      <c r="AU30" s="729"/>
      <c r="AV30" s="722"/>
      <c r="AW30" s="722"/>
      <c r="AX30" s="328"/>
      <c r="AZ30" s="728"/>
      <c r="BA30" s="722"/>
      <c r="BB30" s="722"/>
      <c r="BC30" s="722"/>
      <c r="BD30" s="722"/>
      <c r="BE30" s="328"/>
      <c r="BF30" s="328"/>
      <c r="BG30" s="728"/>
      <c r="BH30" s="722"/>
      <c r="BI30" s="722"/>
      <c r="BJ30" s="722"/>
      <c r="BK30" s="722"/>
      <c r="BL30" s="722"/>
      <c r="BM30" s="729"/>
      <c r="BN30" s="722"/>
      <c r="BO30" s="328"/>
      <c r="BP30" s="722"/>
      <c r="CP30" s="328"/>
      <c r="CQ30" s="249"/>
      <c r="CR30" s="328"/>
      <c r="CS30" s="328"/>
      <c r="CT30" s="722"/>
      <c r="CU30" s="328"/>
      <c r="CV30" s="328"/>
      <c r="CW30" s="328"/>
      <c r="CX30" s="328"/>
      <c r="CY30" s="328"/>
      <c r="CZ30" s="328"/>
      <c r="DA30" s="328"/>
      <c r="DB30" s="328"/>
      <c r="DC30" s="328"/>
      <c r="DD30" s="328"/>
      <c r="EA30" s="728"/>
      <c r="EB30" s="722"/>
      <c r="EC30" s="722"/>
      <c r="ED30" s="722"/>
      <c r="EE30" s="722"/>
      <c r="EF30" s="722"/>
      <c r="EG30" s="722"/>
      <c r="EH30" s="722"/>
      <c r="EI30" s="722"/>
      <c r="EJ30" s="722"/>
      <c r="EK30" s="722"/>
      <c r="EL30" s="722"/>
      <c r="EM30" s="722"/>
      <c r="EN30" s="722"/>
      <c r="EO30" s="722"/>
      <c r="EP30" s="722"/>
      <c r="EQ30" s="268"/>
      <c r="EU30" s="728"/>
      <c r="EV30" s="722"/>
      <c r="EW30" s="722"/>
      <c r="EX30" s="722"/>
      <c r="EY30" s="722"/>
      <c r="EZ30" s="722"/>
      <c r="FA30" s="722"/>
      <c r="FB30" s="328"/>
      <c r="FC30" s="722"/>
      <c r="FD30" s="722"/>
      <c r="FF30" s="722"/>
      <c r="FG30" s="722"/>
      <c r="FH30" s="328"/>
      <c r="FI30" s="328"/>
      <c r="FJ30" s="328"/>
      <c r="FK30" s="722"/>
    </row>
    <row r="31" spans="1:168" x14ac:dyDescent="0.25">
      <c r="B31" s="728"/>
      <c r="C31" s="722"/>
      <c r="D31" s="722"/>
      <c r="E31" s="268"/>
      <c r="F31" s="268"/>
      <c r="G31" s="722"/>
      <c r="H31" s="722"/>
      <c r="I31" s="722"/>
      <c r="J31" s="722"/>
      <c r="K31" s="722"/>
      <c r="L31" s="722"/>
      <c r="M31" s="722"/>
      <c r="N31" s="722"/>
      <c r="O31" s="722"/>
      <c r="P31" s="722"/>
      <c r="Q31" s="722"/>
      <c r="R31" s="722"/>
      <c r="S31" s="722"/>
      <c r="T31" s="722"/>
      <c r="U31" s="722"/>
      <c r="V31" s="722"/>
      <c r="X31" s="728"/>
      <c r="Y31" s="722"/>
      <c r="Z31" s="722"/>
      <c r="AA31" s="729"/>
      <c r="AB31" s="729"/>
      <c r="AC31" s="729"/>
      <c r="AD31" s="729"/>
      <c r="AE31" s="729"/>
      <c r="AF31" s="722"/>
      <c r="AG31" s="722"/>
      <c r="AH31" s="328"/>
      <c r="AJ31" s="728"/>
      <c r="AK31" s="722"/>
      <c r="AL31" s="722"/>
      <c r="AM31" s="722"/>
      <c r="AN31" s="328"/>
      <c r="AO31" s="722"/>
      <c r="AP31" s="728"/>
      <c r="AQ31" s="722"/>
      <c r="AR31" s="722"/>
      <c r="AS31" s="722"/>
      <c r="AT31" s="722"/>
      <c r="AU31" s="729"/>
      <c r="AV31" s="722"/>
      <c r="AW31" s="722"/>
      <c r="AX31" s="328"/>
      <c r="AZ31" s="728"/>
      <c r="BA31" s="722"/>
      <c r="BB31" s="722"/>
      <c r="BC31" s="722"/>
      <c r="BD31" s="722"/>
      <c r="BE31" s="328"/>
      <c r="BF31" s="328"/>
      <c r="BG31" s="728"/>
      <c r="BH31" s="722"/>
      <c r="BI31" s="722"/>
      <c r="BJ31" s="722"/>
      <c r="BK31" s="722"/>
      <c r="BL31" s="722"/>
      <c r="BM31" s="729"/>
      <c r="BN31" s="722"/>
      <c r="BO31" s="328"/>
      <c r="BP31" s="722"/>
      <c r="CP31" s="328"/>
      <c r="CQ31" s="249"/>
      <c r="CR31" s="328"/>
      <c r="CS31" s="328"/>
      <c r="CT31" s="722"/>
      <c r="CU31" s="328"/>
      <c r="CV31" s="328"/>
      <c r="CW31" s="328"/>
      <c r="CX31" s="328"/>
      <c r="CY31" s="328"/>
      <c r="CZ31" s="328"/>
      <c r="DA31" s="328"/>
      <c r="DB31" s="328"/>
      <c r="DC31" s="328"/>
      <c r="DD31" s="328"/>
      <c r="EA31" s="728"/>
      <c r="EB31" s="722"/>
      <c r="EC31" s="722"/>
      <c r="ED31" s="722"/>
      <c r="EE31" s="722"/>
      <c r="EF31" s="722"/>
      <c r="EG31" s="722"/>
      <c r="EH31" s="722"/>
      <c r="EI31" s="722"/>
      <c r="EJ31" s="722"/>
      <c r="EK31" s="722"/>
      <c r="EL31" s="722"/>
      <c r="EM31" s="722"/>
      <c r="EN31" s="722"/>
      <c r="EO31" s="722"/>
      <c r="EP31" s="722"/>
      <c r="EQ31" s="268"/>
      <c r="EU31" s="728"/>
      <c r="EV31" s="722"/>
      <c r="EW31" s="722"/>
      <c r="EX31" s="722"/>
      <c r="EY31" s="722"/>
      <c r="EZ31" s="722"/>
      <c r="FA31" s="722"/>
      <c r="FB31" s="328"/>
      <c r="FC31" s="722"/>
      <c r="FD31" s="722"/>
      <c r="FF31" s="722"/>
      <c r="FG31" s="722"/>
      <c r="FH31" s="328"/>
      <c r="FI31" s="328"/>
      <c r="FJ31" s="328"/>
      <c r="FK31" s="722"/>
    </row>
    <row r="32" spans="1:168" x14ac:dyDescent="0.25">
      <c r="B32" s="728"/>
      <c r="C32" s="722"/>
      <c r="D32" s="722"/>
      <c r="E32" s="268"/>
      <c r="F32" s="268"/>
      <c r="G32" s="722"/>
      <c r="H32" s="722"/>
      <c r="I32" s="722"/>
      <c r="J32" s="722"/>
      <c r="K32" s="722"/>
      <c r="L32" s="722"/>
      <c r="M32" s="722"/>
      <c r="N32" s="722"/>
      <c r="O32" s="722"/>
      <c r="P32" s="722"/>
      <c r="Q32" s="722"/>
      <c r="R32" s="722"/>
      <c r="S32" s="722"/>
      <c r="T32" s="722"/>
      <c r="U32" s="722"/>
      <c r="V32" s="722"/>
      <c r="X32" s="728"/>
      <c r="Y32" s="722"/>
      <c r="Z32" s="722"/>
      <c r="AA32" s="729"/>
      <c r="AB32" s="729"/>
      <c r="AC32" s="729"/>
      <c r="AD32" s="729"/>
      <c r="AE32" s="729"/>
      <c r="AF32" s="722"/>
      <c r="AG32" s="722"/>
      <c r="AH32" s="328"/>
      <c r="AJ32" s="728"/>
      <c r="AK32" s="722"/>
      <c r="AL32" s="722"/>
      <c r="AM32" s="722"/>
      <c r="AN32" s="328"/>
      <c r="AO32" s="722"/>
      <c r="AP32" s="728"/>
      <c r="AQ32" s="722"/>
      <c r="AR32" s="722"/>
      <c r="AS32" s="722"/>
      <c r="AT32" s="722"/>
      <c r="AU32" s="729"/>
      <c r="AV32" s="722"/>
      <c r="AW32" s="722"/>
      <c r="AX32" s="328"/>
      <c r="AZ32" s="728"/>
      <c r="BA32" s="722"/>
      <c r="BB32" s="722"/>
      <c r="BC32" s="722"/>
      <c r="BD32" s="722"/>
      <c r="BE32" s="328"/>
      <c r="BF32" s="328"/>
      <c r="BG32" s="728"/>
      <c r="BH32" s="722"/>
      <c r="BI32" s="722"/>
      <c r="BJ32" s="722"/>
      <c r="BK32" s="722"/>
      <c r="BL32" s="722"/>
      <c r="BM32" s="729"/>
      <c r="BN32" s="722"/>
      <c r="BO32" s="328"/>
      <c r="BP32" s="722"/>
      <c r="CP32" s="328"/>
      <c r="CQ32" s="249"/>
      <c r="CR32" s="328"/>
      <c r="CS32" s="328"/>
      <c r="CT32" s="722"/>
      <c r="CU32" s="328"/>
      <c r="CV32" s="328"/>
      <c r="CW32" s="328"/>
      <c r="CX32" s="328"/>
      <c r="CY32" s="328"/>
      <c r="CZ32" s="328"/>
      <c r="DA32" s="328"/>
      <c r="DB32" s="328"/>
      <c r="DC32" s="328"/>
      <c r="DD32" s="328"/>
      <c r="EA32" s="728"/>
      <c r="EB32" s="722"/>
      <c r="EC32" s="722"/>
      <c r="ED32" s="722"/>
      <c r="EE32" s="722"/>
      <c r="EF32" s="722"/>
      <c r="EG32" s="722"/>
      <c r="EH32" s="722"/>
      <c r="EI32" s="722"/>
      <c r="EJ32" s="722"/>
      <c r="EK32" s="722"/>
      <c r="EL32" s="722"/>
      <c r="EM32" s="722"/>
      <c r="EN32" s="722"/>
      <c r="EO32" s="722"/>
      <c r="EP32" s="722"/>
      <c r="EQ32" s="268"/>
      <c r="EU32" s="728"/>
      <c r="EV32" s="722"/>
      <c r="EW32" s="722"/>
      <c r="EX32" s="722"/>
      <c r="EY32" s="722"/>
      <c r="EZ32" s="722"/>
      <c r="FA32" s="722"/>
      <c r="FB32" s="328"/>
      <c r="FC32" s="722"/>
      <c r="FD32" s="722"/>
      <c r="FF32" s="722"/>
      <c r="FG32" s="722"/>
      <c r="FH32" s="328"/>
      <c r="FI32" s="328"/>
      <c r="FJ32" s="328"/>
      <c r="FK32" s="722"/>
    </row>
    <row r="33" spans="2:167" x14ac:dyDescent="0.25">
      <c r="B33" s="728"/>
      <c r="C33" s="722"/>
      <c r="D33" s="722"/>
      <c r="E33" s="268"/>
      <c r="F33" s="268"/>
      <c r="G33" s="722"/>
      <c r="H33" s="722"/>
      <c r="I33" s="722"/>
      <c r="J33" s="722"/>
      <c r="K33" s="722"/>
      <c r="L33" s="722"/>
      <c r="M33" s="722"/>
      <c r="N33" s="722"/>
      <c r="O33" s="722"/>
      <c r="P33" s="722"/>
      <c r="Q33" s="722"/>
      <c r="R33" s="722"/>
      <c r="S33" s="722"/>
      <c r="T33" s="722"/>
      <c r="U33" s="722"/>
      <c r="V33" s="722"/>
      <c r="X33" s="728"/>
      <c r="Y33" s="722"/>
      <c r="Z33" s="722"/>
      <c r="AA33" s="729"/>
      <c r="AB33" s="729"/>
      <c r="AC33" s="729"/>
      <c r="AD33" s="729"/>
      <c r="AE33" s="729"/>
      <c r="AF33" s="722"/>
      <c r="AG33" s="722"/>
      <c r="AH33" s="328"/>
      <c r="AJ33" s="728"/>
      <c r="AK33" s="722"/>
      <c r="AL33" s="722"/>
      <c r="AM33" s="722"/>
      <c r="AN33" s="328"/>
      <c r="AO33" s="722"/>
      <c r="AP33" s="728"/>
      <c r="AQ33" s="722"/>
      <c r="AR33" s="722"/>
      <c r="AS33" s="722"/>
      <c r="AT33" s="722"/>
      <c r="AU33" s="729"/>
      <c r="AV33" s="722"/>
      <c r="AW33" s="722"/>
      <c r="AX33" s="328"/>
      <c r="AZ33" s="728"/>
      <c r="BA33" s="722"/>
      <c r="BB33" s="722"/>
      <c r="BC33" s="722"/>
      <c r="BD33" s="722"/>
      <c r="BE33" s="328"/>
      <c r="BF33" s="328"/>
      <c r="BG33" s="728"/>
      <c r="BH33" s="722"/>
      <c r="BI33" s="722"/>
      <c r="BJ33" s="722"/>
      <c r="BK33" s="722"/>
      <c r="BL33" s="722"/>
      <c r="BM33" s="729"/>
      <c r="BN33" s="722"/>
      <c r="BO33" s="328"/>
      <c r="BP33" s="722"/>
      <c r="CP33" s="328"/>
      <c r="CQ33" s="249"/>
      <c r="CR33" s="328"/>
      <c r="CS33" s="328"/>
      <c r="CT33" s="722"/>
      <c r="CU33" s="328"/>
      <c r="CV33" s="328"/>
      <c r="CW33" s="328"/>
      <c r="CX33" s="328"/>
      <c r="CY33" s="328"/>
      <c r="CZ33" s="328"/>
      <c r="DA33" s="328"/>
      <c r="DB33" s="328"/>
      <c r="DC33" s="328"/>
      <c r="DD33" s="328"/>
      <c r="EA33" s="728"/>
      <c r="EB33" s="722"/>
      <c r="EC33" s="722"/>
      <c r="ED33" s="722"/>
      <c r="EE33" s="722"/>
      <c r="EF33" s="722"/>
      <c r="EG33" s="722"/>
      <c r="EH33" s="722"/>
      <c r="EI33" s="722"/>
      <c r="EJ33" s="722"/>
      <c r="EK33" s="722"/>
      <c r="EL33" s="722"/>
      <c r="EM33" s="722"/>
      <c r="EN33" s="722"/>
      <c r="EO33" s="722"/>
      <c r="EP33" s="722"/>
      <c r="EQ33" s="268"/>
      <c r="EU33" s="728"/>
      <c r="EV33" s="722"/>
      <c r="EW33" s="722"/>
      <c r="EX33" s="722"/>
      <c r="EY33" s="722"/>
      <c r="EZ33" s="722"/>
      <c r="FA33" s="722"/>
      <c r="FB33" s="328"/>
      <c r="FC33" s="722"/>
      <c r="FD33" s="722"/>
      <c r="FF33" s="722"/>
      <c r="FG33" s="722"/>
      <c r="FH33" s="328"/>
      <c r="FI33" s="328"/>
      <c r="FJ33" s="328"/>
      <c r="FK33" s="722"/>
    </row>
    <row r="34" spans="2:167" x14ac:dyDescent="0.25">
      <c r="B34" s="728"/>
      <c r="C34" s="722"/>
      <c r="D34" s="722"/>
      <c r="E34" s="268"/>
      <c r="F34" s="268"/>
      <c r="G34" s="722"/>
      <c r="H34" s="722"/>
      <c r="I34" s="722"/>
      <c r="J34" s="722"/>
      <c r="K34" s="722"/>
      <c r="L34" s="722"/>
      <c r="M34" s="722"/>
      <c r="N34" s="722"/>
      <c r="O34" s="722"/>
      <c r="P34" s="722"/>
      <c r="Q34" s="722"/>
      <c r="R34" s="722"/>
      <c r="S34" s="722"/>
      <c r="T34" s="722"/>
      <c r="U34" s="722"/>
      <c r="V34" s="722"/>
      <c r="X34" s="728"/>
      <c r="Y34" s="722"/>
      <c r="Z34" s="722"/>
      <c r="AA34" s="729"/>
      <c r="AB34" s="729"/>
      <c r="AC34" s="729"/>
      <c r="AD34" s="729"/>
      <c r="AE34" s="729"/>
      <c r="AF34" s="722"/>
      <c r="AG34" s="722"/>
      <c r="AH34" s="328"/>
      <c r="AJ34" s="728"/>
      <c r="AK34" s="722"/>
      <c r="AL34" s="722"/>
      <c r="AM34" s="722"/>
      <c r="AN34" s="328"/>
      <c r="AO34" s="722"/>
      <c r="AP34" s="728"/>
      <c r="AQ34" s="722"/>
      <c r="AR34" s="722"/>
      <c r="AS34" s="722"/>
      <c r="AT34" s="722"/>
      <c r="AU34" s="729"/>
      <c r="AV34" s="722"/>
      <c r="AW34" s="722"/>
      <c r="AX34" s="328"/>
      <c r="AZ34" s="728"/>
      <c r="BA34" s="722"/>
      <c r="BB34" s="722"/>
      <c r="BC34" s="722"/>
      <c r="BD34" s="722"/>
      <c r="BE34" s="328"/>
      <c r="BF34" s="328"/>
      <c r="BG34" s="728"/>
      <c r="BH34" s="722"/>
      <c r="BI34" s="722"/>
      <c r="BJ34" s="722"/>
      <c r="BK34" s="722"/>
      <c r="BL34" s="722"/>
      <c r="BM34" s="729"/>
      <c r="BN34" s="722"/>
      <c r="BO34" s="328"/>
      <c r="BP34" s="722"/>
      <c r="CP34" s="328"/>
      <c r="CQ34" s="249"/>
      <c r="CR34" s="328"/>
      <c r="CS34" s="328"/>
      <c r="CT34" s="722"/>
      <c r="CU34" s="328"/>
      <c r="CV34" s="328"/>
      <c r="CW34" s="328"/>
      <c r="CX34" s="328"/>
      <c r="CY34" s="328"/>
      <c r="CZ34" s="328"/>
      <c r="DA34" s="328"/>
      <c r="DB34" s="328"/>
      <c r="DC34" s="328"/>
      <c r="DD34" s="328"/>
      <c r="EA34" s="728"/>
      <c r="EB34" s="722"/>
      <c r="EC34" s="722"/>
      <c r="ED34" s="722"/>
      <c r="EE34" s="722"/>
      <c r="EF34" s="722"/>
      <c r="EG34" s="722"/>
      <c r="EH34" s="722"/>
      <c r="EI34" s="722"/>
      <c r="EJ34" s="722"/>
      <c r="EK34" s="722"/>
      <c r="EL34" s="722"/>
      <c r="EM34" s="722"/>
      <c r="EN34" s="722"/>
      <c r="EO34" s="722"/>
      <c r="EP34" s="722"/>
      <c r="EQ34" s="268"/>
      <c r="EU34" s="728"/>
      <c r="EV34" s="722"/>
      <c r="EW34" s="722"/>
      <c r="EX34" s="722"/>
      <c r="EY34" s="722"/>
      <c r="EZ34" s="722"/>
      <c r="FA34" s="722"/>
      <c r="FB34" s="328"/>
      <c r="FC34" s="722"/>
      <c r="FD34" s="722"/>
      <c r="FF34" s="722"/>
      <c r="FG34" s="722"/>
      <c r="FH34" s="328"/>
      <c r="FI34" s="328"/>
      <c r="FJ34" s="328"/>
      <c r="FK34" s="722"/>
    </row>
    <row r="35" spans="2:167" x14ac:dyDescent="0.25">
      <c r="B35" s="728"/>
      <c r="C35" s="722"/>
      <c r="D35" s="722"/>
      <c r="E35" s="268"/>
      <c r="F35" s="268"/>
      <c r="G35" s="722"/>
      <c r="H35" s="722"/>
      <c r="I35" s="722"/>
      <c r="J35" s="722"/>
      <c r="K35" s="722"/>
      <c r="L35" s="722"/>
      <c r="M35" s="722"/>
      <c r="N35" s="722"/>
      <c r="O35" s="722"/>
      <c r="P35" s="722"/>
      <c r="Q35" s="722"/>
      <c r="R35" s="722"/>
      <c r="S35" s="722"/>
      <c r="T35" s="722"/>
      <c r="U35" s="722"/>
      <c r="V35" s="722"/>
      <c r="X35" s="728"/>
      <c r="Y35" s="722"/>
      <c r="Z35" s="722"/>
      <c r="AA35" s="729"/>
      <c r="AB35" s="729"/>
      <c r="AC35" s="729"/>
      <c r="AD35" s="729"/>
      <c r="AE35" s="729"/>
      <c r="AF35" s="722"/>
      <c r="AG35" s="722"/>
      <c r="AH35" s="328"/>
      <c r="AJ35" s="728"/>
      <c r="AK35" s="722"/>
      <c r="AL35" s="722"/>
      <c r="AM35" s="722"/>
      <c r="AN35" s="328"/>
      <c r="AO35" s="722"/>
      <c r="AP35" s="728"/>
      <c r="AQ35" s="722"/>
      <c r="AR35" s="722"/>
      <c r="AS35" s="722"/>
      <c r="AT35" s="722"/>
      <c r="AU35" s="729"/>
      <c r="AV35" s="722"/>
      <c r="AW35" s="722"/>
      <c r="AX35" s="328"/>
      <c r="AZ35" s="728"/>
      <c r="BA35" s="722"/>
      <c r="BB35" s="722"/>
      <c r="BC35" s="722"/>
      <c r="BD35" s="722"/>
      <c r="BE35" s="328"/>
      <c r="BF35" s="328"/>
      <c r="BG35" s="728"/>
      <c r="BH35" s="722"/>
      <c r="BI35" s="722"/>
      <c r="BJ35" s="722"/>
      <c r="BK35" s="722"/>
      <c r="BL35" s="722"/>
      <c r="BM35" s="729"/>
      <c r="BN35" s="722"/>
      <c r="BO35" s="328"/>
      <c r="BP35" s="722"/>
      <c r="CP35" s="328"/>
      <c r="CQ35" s="249"/>
      <c r="CR35" s="328"/>
      <c r="CS35" s="328"/>
      <c r="CT35" s="722"/>
      <c r="CU35" s="328"/>
      <c r="CV35" s="328"/>
      <c r="CW35" s="328"/>
      <c r="CX35" s="328"/>
      <c r="CY35" s="328"/>
      <c r="CZ35" s="328"/>
      <c r="DA35" s="328"/>
      <c r="DB35" s="328"/>
      <c r="DC35" s="328"/>
      <c r="DD35" s="328"/>
      <c r="EA35" s="728"/>
      <c r="EB35" s="722"/>
      <c r="EC35" s="722"/>
      <c r="ED35" s="722"/>
      <c r="EE35" s="722"/>
      <c r="EF35" s="722"/>
      <c r="EG35" s="722"/>
      <c r="EH35" s="722"/>
      <c r="EI35" s="722"/>
      <c r="EJ35" s="722"/>
      <c r="EK35" s="722"/>
      <c r="EL35" s="722"/>
      <c r="EM35" s="722"/>
      <c r="EN35" s="722"/>
      <c r="EO35" s="722"/>
      <c r="EP35" s="722"/>
      <c r="EQ35" s="268"/>
      <c r="EU35" s="728"/>
      <c r="EV35" s="722"/>
      <c r="EW35" s="722"/>
      <c r="EX35" s="722"/>
      <c r="EY35" s="722"/>
      <c r="EZ35" s="722"/>
      <c r="FA35" s="722"/>
      <c r="FB35" s="328"/>
      <c r="FC35" s="722"/>
      <c r="FD35" s="722"/>
      <c r="FF35" s="722"/>
      <c r="FG35" s="722"/>
      <c r="FH35" s="328"/>
      <c r="FI35" s="328"/>
      <c r="FJ35" s="328"/>
      <c r="FK35" s="722"/>
    </row>
    <row r="36" spans="2:167" x14ac:dyDescent="0.25">
      <c r="B36" s="728"/>
      <c r="C36" s="722"/>
      <c r="D36" s="722"/>
      <c r="E36" s="268"/>
      <c r="F36" s="268"/>
      <c r="G36" s="722"/>
      <c r="H36" s="722"/>
      <c r="I36" s="722"/>
      <c r="J36" s="722"/>
      <c r="K36" s="722"/>
      <c r="L36" s="722"/>
      <c r="M36" s="722"/>
      <c r="N36" s="722"/>
      <c r="O36" s="722"/>
      <c r="P36" s="722"/>
      <c r="Q36" s="722"/>
      <c r="R36" s="722"/>
      <c r="S36" s="722"/>
      <c r="T36" s="722"/>
      <c r="U36" s="722"/>
      <c r="V36" s="722"/>
      <c r="X36" s="728"/>
      <c r="Y36" s="722"/>
      <c r="Z36" s="722"/>
      <c r="AA36" s="729"/>
      <c r="AB36" s="729"/>
      <c r="AC36" s="729"/>
      <c r="AD36" s="729"/>
      <c r="AE36" s="729"/>
      <c r="AF36" s="722"/>
      <c r="AG36" s="722"/>
      <c r="AH36" s="328"/>
      <c r="AJ36" s="728"/>
      <c r="AK36" s="722"/>
      <c r="AL36" s="722"/>
      <c r="AM36" s="722"/>
      <c r="AN36" s="328"/>
      <c r="AO36" s="722"/>
      <c r="AP36" s="728"/>
      <c r="AQ36" s="722"/>
      <c r="AR36" s="722"/>
      <c r="AS36" s="722"/>
      <c r="AT36" s="722"/>
      <c r="AU36" s="729"/>
      <c r="AV36" s="722"/>
      <c r="AW36" s="722"/>
      <c r="AX36" s="328"/>
      <c r="AZ36" s="728"/>
      <c r="BA36" s="722"/>
      <c r="BB36" s="722"/>
      <c r="BC36" s="722"/>
      <c r="BD36" s="722"/>
      <c r="BE36" s="328"/>
      <c r="BF36" s="328"/>
      <c r="BG36" s="728"/>
      <c r="BH36" s="722"/>
      <c r="BI36" s="722"/>
      <c r="BJ36" s="722"/>
      <c r="BK36" s="722"/>
      <c r="BL36" s="722"/>
      <c r="BM36" s="729"/>
      <c r="BN36" s="722"/>
      <c r="BO36" s="328"/>
      <c r="BP36" s="722"/>
      <c r="CP36" s="328"/>
      <c r="CQ36" s="249"/>
      <c r="CR36" s="328"/>
      <c r="CS36" s="328"/>
      <c r="CT36" s="722"/>
      <c r="CU36" s="328"/>
      <c r="CV36" s="328"/>
      <c r="CW36" s="328"/>
      <c r="CX36" s="328"/>
      <c r="CY36" s="328"/>
      <c r="CZ36" s="328"/>
      <c r="DA36" s="328"/>
      <c r="DB36" s="328"/>
      <c r="DC36" s="328"/>
      <c r="DD36" s="328"/>
      <c r="EA36" s="728"/>
      <c r="EB36" s="722"/>
      <c r="EC36" s="722"/>
      <c r="ED36" s="722"/>
      <c r="EE36" s="722"/>
      <c r="EF36" s="722"/>
      <c r="EG36" s="722"/>
      <c r="EH36" s="722"/>
      <c r="EI36" s="722"/>
      <c r="EJ36" s="722"/>
      <c r="EK36" s="722"/>
      <c r="EL36" s="722"/>
      <c r="EM36" s="722"/>
      <c r="EN36" s="722"/>
      <c r="EO36" s="722"/>
      <c r="EP36" s="722"/>
      <c r="EQ36" s="268"/>
      <c r="EU36" s="728"/>
      <c r="EV36" s="722"/>
      <c r="EW36" s="722"/>
      <c r="EX36" s="722"/>
      <c r="EY36" s="722"/>
      <c r="EZ36" s="722"/>
      <c r="FA36" s="722"/>
      <c r="FB36" s="328"/>
      <c r="FC36" s="722"/>
      <c r="FD36" s="722"/>
      <c r="FF36" s="722"/>
      <c r="FG36" s="722"/>
      <c r="FH36" s="328"/>
      <c r="FI36" s="328"/>
      <c r="FJ36" s="328"/>
      <c r="FK36" s="722"/>
    </row>
    <row r="37" spans="2:167" x14ac:dyDescent="0.25">
      <c r="B37" s="728"/>
      <c r="C37" s="722"/>
      <c r="D37" s="722"/>
      <c r="E37" s="268"/>
      <c r="F37" s="268"/>
      <c r="G37" s="722"/>
      <c r="H37" s="722"/>
      <c r="I37" s="722"/>
      <c r="J37" s="722"/>
      <c r="K37" s="722"/>
      <c r="L37" s="722"/>
      <c r="M37" s="722"/>
      <c r="N37" s="722"/>
      <c r="O37" s="722"/>
      <c r="P37" s="722"/>
      <c r="Q37" s="722"/>
      <c r="R37" s="722"/>
      <c r="S37" s="722"/>
      <c r="T37" s="722"/>
      <c r="U37" s="722"/>
      <c r="V37" s="722"/>
      <c r="X37" s="728"/>
      <c r="Y37" s="722"/>
      <c r="Z37" s="722"/>
      <c r="AA37" s="729"/>
      <c r="AB37" s="729"/>
      <c r="AC37" s="729"/>
      <c r="AD37" s="729"/>
      <c r="AE37" s="729"/>
      <c r="AF37" s="722"/>
      <c r="AG37" s="722"/>
      <c r="AH37" s="328"/>
      <c r="AJ37" s="728"/>
      <c r="AK37" s="722"/>
      <c r="AL37" s="722"/>
      <c r="AM37" s="722"/>
      <c r="AN37" s="328"/>
      <c r="AO37" s="722"/>
      <c r="AP37" s="728"/>
      <c r="AQ37" s="722"/>
      <c r="AR37" s="722"/>
      <c r="AS37" s="722"/>
      <c r="AT37" s="722"/>
      <c r="AU37" s="729"/>
      <c r="AV37" s="722"/>
      <c r="AW37" s="722"/>
      <c r="AX37" s="328"/>
      <c r="AZ37" s="728"/>
      <c r="BA37" s="722"/>
      <c r="BB37" s="722"/>
      <c r="BC37" s="722"/>
      <c r="BD37" s="722"/>
      <c r="BE37" s="328"/>
      <c r="BF37" s="328"/>
      <c r="BG37" s="728"/>
      <c r="BH37" s="722"/>
      <c r="BI37" s="722"/>
      <c r="BJ37" s="722"/>
      <c r="BK37" s="722"/>
      <c r="BL37" s="722"/>
      <c r="BM37" s="729"/>
      <c r="BN37" s="722"/>
      <c r="BO37" s="328"/>
      <c r="BP37" s="722"/>
      <c r="CP37" s="328"/>
      <c r="CQ37" s="249"/>
      <c r="CR37" s="328"/>
      <c r="CS37" s="328"/>
      <c r="CT37" s="722"/>
      <c r="CU37" s="328"/>
      <c r="CV37" s="328"/>
      <c r="CW37" s="328"/>
      <c r="CX37" s="328"/>
      <c r="CY37" s="328"/>
      <c r="CZ37" s="328"/>
      <c r="DA37" s="328"/>
      <c r="DB37" s="328"/>
      <c r="DC37" s="328"/>
      <c r="DD37" s="328"/>
      <c r="EA37" s="728"/>
      <c r="EB37" s="722"/>
      <c r="EC37" s="722"/>
      <c r="ED37" s="722"/>
      <c r="EE37" s="722"/>
      <c r="EF37" s="722"/>
      <c r="EG37" s="722"/>
      <c r="EH37" s="722"/>
      <c r="EI37" s="722"/>
      <c r="EJ37" s="722"/>
      <c r="EK37" s="722"/>
      <c r="EL37" s="722"/>
      <c r="EM37" s="722"/>
      <c r="EN37" s="722"/>
      <c r="EO37" s="722"/>
      <c r="EP37" s="722"/>
      <c r="EQ37" s="268"/>
      <c r="EU37" s="728"/>
      <c r="EV37" s="722"/>
      <c r="EW37" s="722"/>
      <c r="EX37" s="722"/>
      <c r="EY37" s="722"/>
      <c r="EZ37" s="722"/>
      <c r="FA37" s="722"/>
      <c r="FB37" s="328"/>
      <c r="FC37" s="722"/>
      <c r="FD37" s="722"/>
      <c r="FF37" s="722"/>
      <c r="FG37" s="722"/>
      <c r="FH37" s="328"/>
      <c r="FI37" s="328"/>
      <c r="FJ37" s="328"/>
      <c r="FK37" s="722"/>
    </row>
    <row r="38" spans="2:167" x14ac:dyDescent="0.25">
      <c r="B38" s="728"/>
      <c r="C38" s="722"/>
      <c r="D38" s="722"/>
      <c r="E38" s="268"/>
      <c r="F38" s="268"/>
      <c r="G38" s="722"/>
      <c r="H38" s="722"/>
      <c r="I38" s="722"/>
      <c r="J38" s="722"/>
      <c r="K38" s="722"/>
      <c r="L38" s="722"/>
      <c r="M38" s="722"/>
      <c r="N38" s="722"/>
      <c r="O38" s="722"/>
      <c r="P38" s="722"/>
      <c r="Q38" s="722"/>
      <c r="R38" s="722"/>
      <c r="S38" s="722"/>
      <c r="T38" s="722"/>
      <c r="U38" s="722"/>
      <c r="V38" s="722"/>
      <c r="X38" s="728"/>
      <c r="Y38" s="722"/>
      <c r="Z38" s="722"/>
      <c r="AA38" s="729"/>
      <c r="AB38" s="729"/>
      <c r="AC38" s="729"/>
      <c r="AD38" s="729"/>
      <c r="AE38" s="729"/>
      <c r="AF38" s="722"/>
      <c r="AG38" s="722"/>
      <c r="AH38" s="328"/>
      <c r="AJ38" s="728"/>
      <c r="AK38" s="722"/>
      <c r="AL38" s="722"/>
      <c r="AM38" s="722"/>
      <c r="AN38" s="328"/>
      <c r="AO38" s="722"/>
      <c r="AP38" s="728"/>
      <c r="AQ38" s="722"/>
      <c r="AR38" s="722"/>
      <c r="AS38" s="722"/>
      <c r="AT38" s="722"/>
      <c r="AU38" s="729"/>
      <c r="AV38" s="722"/>
      <c r="AW38" s="722"/>
      <c r="AX38" s="328"/>
      <c r="AZ38" s="728"/>
      <c r="BA38" s="722"/>
      <c r="BB38" s="722"/>
      <c r="BC38" s="722"/>
      <c r="BD38" s="722"/>
      <c r="BE38" s="328"/>
      <c r="BF38" s="328"/>
      <c r="BG38" s="728"/>
      <c r="BH38" s="722"/>
      <c r="BI38" s="722"/>
      <c r="BJ38" s="722"/>
      <c r="BK38" s="722"/>
      <c r="BL38" s="722"/>
      <c r="BM38" s="729"/>
      <c r="BN38" s="722"/>
      <c r="BO38" s="328"/>
      <c r="BP38" s="722"/>
      <c r="CP38" s="328"/>
      <c r="CQ38" s="249"/>
      <c r="CR38" s="328"/>
      <c r="CS38" s="328"/>
      <c r="CT38" s="722"/>
      <c r="CU38" s="328"/>
      <c r="CV38" s="328"/>
      <c r="CW38" s="328"/>
      <c r="CX38" s="328"/>
      <c r="CY38" s="328"/>
      <c r="CZ38" s="328"/>
      <c r="DA38" s="328"/>
      <c r="DB38" s="328"/>
      <c r="DC38" s="328"/>
      <c r="DD38" s="328"/>
      <c r="EA38" s="728"/>
      <c r="EB38" s="722"/>
      <c r="EC38" s="722"/>
      <c r="ED38" s="722"/>
      <c r="EE38" s="722"/>
      <c r="EF38" s="722"/>
      <c r="EG38" s="722"/>
      <c r="EH38" s="722"/>
      <c r="EI38" s="722"/>
      <c r="EJ38" s="722"/>
      <c r="EK38" s="722"/>
      <c r="EL38" s="722"/>
      <c r="EM38" s="722"/>
      <c r="EN38" s="722"/>
      <c r="EO38" s="722"/>
      <c r="EP38" s="722"/>
      <c r="EQ38" s="268"/>
      <c r="EU38" s="728"/>
      <c r="EV38" s="722"/>
      <c r="EW38" s="722"/>
      <c r="EX38" s="722"/>
      <c r="EY38" s="722"/>
      <c r="EZ38" s="722"/>
      <c r="FA38" s="722"/>
      <c r="FB38" s="328"/>
      <c r="FC38" s="722"/>
      <c r="FD38" s="722"/>
      <c r="FF38" s="722"/>
      <c r="FG38" s="722"/>
      <c r="FH38" s="328"/>
      <c r="FI38" s="328"/>
      <c r="FJ38" s="328"/>
      <c r="FK38" s="722"/>
    </row>
    <row r="39" spans="2:167" x14ac:dyDescent="0.25">
      <c r="B39" s="728"/>
      <c r="C39" s="722"/>
      <c r="D39" s="722"/>
      <c r="E39" s="268"/>
      <c r="F39" s="268"/>
      <c r="G39" s="722"/>
      <c r="H39" s="722"/>
      <c r="I39" s="722"/>
      <c r="J39" s="722"/>
      <c r="K39" s="722"/>
      <c r="L39" s="722"/>
      <c r="M39" s="722"/>
      <c r="N39" s="722"/>
      <c r="O39" s="722"/>
      <c r="P39" s="722"/>
      <c r="Q39" s="722"/>
      <c r="R39" s="722"/>
      <c r="S39" s="722"/>
      <c r="T39" s="722"/>
      <c r="U39" s="722"/>
      <c r="V39" s="722"/>
      <c r="X39" s="728"/>
      <c r="Y39" s="722"/>
      <c r="Z39" s="722"/>
      <c r="AA39" s="729"/>
      <c r="AB39" s="729"/>
      <c r="AC39" s="729"/>
      <c r="AD39" s="729"/>
      <c r="AE39" s="729"/>
      <c r="AF39" s="722"/>
      <c r="AG39" s="722"/>
      <c r="AH39" s="328"/>
      <c r="AJ39" s="728"/>
      <c r="AK39" s="722"/>
      <c r="AL39" s="722"/>
      <c r="AM39" s="722"/>
      <c r="AN39" s="328"/>
      <c r="AO39" s="722"/>
      <c r="AP39" s="728"/>
      <c r="AQ39" s="722"/>
      <c r="AR39" s="722"/>
      <c r="AS39" s="722"/>
      <c r="AT39" s="722"/>
      <c r="AU39" s="729"/>
      <c r="AV39" s="722"/>
      <c r="AW39" s="722"/>
      <c r="AX39" s="328"/>
      <c r="AZ39" s="728"/>
      <c r="BA39" s="722"/>
      <c r="BB39" s="722"/>
      <c r="BC39" s="722"/>
      <c r="BD39" s="722"/>
      <c r="BE39" s="328"/>
      <c r="BF39" s="328"/>
      <c r="BG39" s="728"/>
      <c r="BH39" s="722"/>
      <c r="BI39" s="722"/>
      <c r="BJ39" s="722"/>
      <c r="BK39" s="722"/>
      <c r="BL39" s="722"/>
      <c r="BM39" s="729"/>
      <c r="BN39" s="722"/>
      <c r="BO39" s="328"/>
      <c r="BP39" s="722"/>
      <c r="CP39" s="328"/>
      <c r="CQ39" s="249"/>
      <c r="CR39" s="328"/>
      <c r="CS39" s="328"/>
      <c r="CT39" s="722"/>
      <c r="CU39" s="328"/>
      <c r="CV39" s="328"/>
      <c r="CW39" s="328"/>
      <c r="CX39" s="328"/>
      <c r="CY39" s="328"/>
      <c r="CZ39" s="328"/>
      <c r="DA39" s="328"/>
      <c r="DB39" s="328"/>
      <c r="DC39" s="328"/>
      <c r="DD39" s="328"/>
      <c r="EA39" s="728"/>
      <c r="EB39" s="722"/>
      <c r="EC39" s="722"/>
      <c r="ED39" s="722"/>
      <c r="EE39" s="722"/>
      <c r="EF39" s="722"/>
      <c r="EG39" s="722"/>
      <c r="EH39" s="722"/>
      <c r="EI39" s="722"/>
      <c r="EJ39" s="722"/>
      <c r="EK39" s="722"/>
      <c r="EL39" s="722"/>
      <c r="EM39" s="722"/>
      <c r="EN39" s="722"/>
      <c r="EO39" s="722"/>
      <c r="EP39" s="722"/>
      <c r="EQ39" s="268"/>
      <c r="EU39" s="728"/>
      <c r="EV39" s="722"/>
      <c r="EW39" s="722"/>
      <c r="EX39" s="722"/>
      <c r="EY39" s="722"/>
      <c r="EZ39" s="722"/>
      <c r="FA39" s="722"/>
      <c r="FB39" s="328"/>
      <c r="FC39" s="722"/>
      <c r="FD39" s="722"/>
      <c r="FF39" s="722"/>
      <c r="FG39" s="722"/>
      <c r="FH39" s="328"/>
      <c r="FI39" s="328"/>
      <c r="FJ39" s="328"/>
      <c r="FK39" s="722"/>
    </row>
    <row r="40" spans="2:167" x14ac:dyDescent="0.25">
      <c r="B40" s="728"/>
      <c r="C40" s="722"/>
      <c r="D40" s="722"/>
      <c r="E40" s="268"/>
      <c r="F40" s="268"/>
      <c r="G40" s="722"/>
      <c r="H40" s="722"/>
      <c r="I40" s="722"/>
      <c r="J40" s="722"/>
      <c r="K40" s="722"/>
      <c r="L40" s="722"/>
      <c r="M40" s="722"/>
      <c r="N40" s="722"/>
      <c r="O40" s="722"/>
      <c r="P40" s="722"/>
      <c r="Q40" s="722"/>
      <c r="R40" s="722"/>
      <c r="S40" s="722"/>
      <c r="T40" s="722"/>
      <c r="U40" s="722"/>
      <c r="V40" s="722"/>
      <c r="X40" s="728"/>
      <c r="Y40" s="722"/>
      <c r="Z40" s="722"/>
      <c r="AA40" s="729"/>
      <c r="AB40" s="729"/>
      <c r="AC40" s="729"/>
      <c r="AD40" s="729"/>
      <c r="AE40" s="729"/>
      <c r="AF40" s="722"/>
      <c r="AG40" s="722"/>
      <c r="AH40" s="328"/>
      <c r="AJ40" s="728"/>
      <c r="AK40" s="722"/>
      <c r="AL40" s="722"/>
      <c r="AM40" s="722"/>
      <c r="AN40" s="328"/>
      <c r="AO40" s="722"/>
      <c r="AP40" s="728"/>
      <c r="AQ40" s="722"/>
      <c r="AR40" s="722"/>
      <c r="AS40" s="722"/>
      <c r="AT40" s="722"/>
      <c r="AU40" s="729"/>
      <c r="AV40" s="722"/>
      <c r="AW40" s="722"/>
      <c r="AX40" s="328"/>
      <c r="AZ40" s="728"/>
      <c r="BA40" s="722"/>
      <c r="BB40" s="722"/>
      <c r="BC40" s="722"/>
      <c r="BD40" s="722"/>
      <c r="BE40" s="328"/>
      <c r="BF40" s="328"/>
      <c r="BG40" s="728"/>
      <c r="BH40" s="722"/>
      <c r="BI40" s="722"/>
      <c r="BJ40" s="722"/>
      <c r="BK40" s="722"/>
      <c r="BL40" s="722"/>
      <c r="BM40" s="729"/>
      <c r="BN40" s="722"/>
      <c r="BO40" s="328"/>
      <c r="BP40" s="722"/>
      <c r="CP40" s="328"/>
      <c r="CQ40" s="249"/>
      <c r="CR40" s="328"/>
      <c r="CS40" s="328"/>
      <c r="CT40" s="328"/>
      <c r="CU40" s="328"/>
      <c r="CV40" s="328"/>
      <c r="CW40" s="328"/>
      <c r="CX40" s="328"/>
      <c r="CY40" s="328"/>
      <c r="CZ40" s="328"/>
      <c r="DA40" s="328"/>
      <c r="DB40" s="328"/>
      <c r="DC40" s="328"/>
      <c r="DD40" s="328"/>
      <c r="EA40" s="728"/>
      <c r="EB40" s="722"/>
      <c r="EC40" s="722"/>
      <c r="ED40" s="722"/>
      <c r="EE40" s="722"/>
      <c r="EF40" s="722"/>
      <c r="EG40" s="722"/>
      <c r="EH40" s="722"/>
      <c r="EI40" s="722"/>
      <c r="EJ40" s="722"/>
      <c r="EK40" s="722"/>
      <c r="EL40" s="722"/>
      <c r="EM40" s="722"/>
      <c r="EN40" s="722"/>
      <c r="EO40" s="722"/>
      <c r="EP40" s="722"/>
      <c r="EQ40" s="268"/>
      <c r="EU40" s="728"/>
      <c r="EV40" s="722"/>
      <c r="EW40" s="722"/>
      <c r="EX40" s="722"/>
      <c r="EY40" s="722"/>
      <c r="EZ40" s="722"/>
      <c r="FA40" s="722"/>
      <c r="FB40" s="328"/>
      <c r="FC40" s="722"/>
      <c r="FD40" s="722"/>
      <c r="FF40" s="722"/>
      <c r="FG40" s="722"/>
      <c r="FH40" s="328"/>
      <c r="FI40" s="328"/>
      <c r="FJ40" s="328"/>
      <c r="FK40" s="722"/>
    </row>
    <row r="41" spans="2:167" x14ac:dyDescent="0.25">
      <c r="B41" s="728"/>
      <c r="C41" s="722"/>
      <c r="D41" s="722"/>
      <c r="E41" s="268"/>
      <c r="F41" s="268"/>
      <c r="G41" s="722"/>
      <c r="H41" s="722"/>
      <c r="I41" s="722"/>
      <c r="J41" s="722"/>
      <c r="K41" s="722"/>
      <c r="L41" s="722"/>
      <c r="M41" s="722"/>
      <c r="N41" s="722"/>
      <c r="O41" s="722"/>
      <c r="P41" s="722"/>
      <c r="Q41" s="722"/>
      <c r="R41" s="722"/>
      <c r="S41" s="722"/>
      <c r="T41" s="722"/>
      <c r="U41" s="722"/>
      <c r="V41" s="722"/>
      <c r="X41" s="728"/>
      <c r="Y41" s="722"/>
      <c r="Z41" s="722"/>
      <c r="AA41" s="729"/>
      <c r="AB41" s="729"/>
      <c r="AC41" s="729"/>
      <c r="AD41" s="729"/>
      <c r="AE41" s="729"/>
      <c r="AF41" s="722"/>
      <c r="AG41" s="722"/>
      <c r="AH41" s="328"/>
      <c r="AJ41" s="728"/>
      <c r="AK41" s="722"/>
      <c r="AL41" s="722"/>
      <c r="AM41" s="722"/>
      <c r="AN41" s="328"/>
      <c r="AO41" s="722"/>
      <c r="AP41" s="728"/>
      <c r="AQ41" s="722"/>
      <c r="AR41" s="722"/>
      <c r="AS41" s="722"/>
      <c r="AT41" s="722"/>
      <c r="AU41" s="729"/>
      <c r="AV41" s="722"/>
      <c r="AW41" s="722"/>
      <c r="AX41" s="328"/>
      <c r="AZ41" s="728"/>
      <c r="BA41" s="722"/>
      <c r="BB41" s="722"/>
      <c r="BC41" s="722"/>
      <c r="BD41" s="722"/>
      <c r="BE41" s="328"/>
      <c r="BF41" s="328"/>
      <c r="BG41" s="728"/>
      <c r="BH41" s="722"/>
      <c r="BI41" s="722"/>
      <c r="BJ41" s="722"/>
      <c r="BK41" s="722"/>
      <c r="BL41" s="722"/>
      <c r="BM41" s="729"/>
      <c r="BN41" s="722"/>
      <c r="BO41" s="328"/>
      <c r="BP41" s="722"/>
      <c r="CP41" s="328"/>
      <c r="CQ41" s="249"/>
      <c r="CR41" s="328"/>
      <c r="CS41" s="328"/>
      <c r="CT41" s="328"/>
      <c r="CU41" s="328"/>
      <c r="CV41" s="328"/>
      <c r="CW41" s="328"/>
      <c r="CX41" s="328"/>
      <c r="CY41" s="328"/>
      <c r="CZ41" s="328"/>
      <c r="DA41" s="328"/>
      <c r="DB41" s="328"/>
      <c r="DC41" s="328"/>
      <c r="DD41" s="328"/>
      <c r="EA41" s="728"/>
      <c r="EB41" s="722"/>
      <c r="EC41" s="722"/>
      <c r="ED41" s="722"/>
      <c r="EE41" s="722"/>
      <c r="EF41" s="722"/>
      <c r="EG41" s="722"/>
      <c r="EH41" s="722"/>
      <c r="EI41" s="722"/>
      <c r="EJ41" s="722"/>
      <c r="EK41" s="722"/>
      <c r="EL41" s="722"/>
      <c r="EM41" s="722"/>
      <c r="EN41" s="722"/>
      <c r="EO41" s="722"/>
      <c r="EP41" s="722"/>
      <c r="EQ41" s="268"/>
      <c r="EU41" s="728"/>
      <c r="EV41" s="722"/>
      <c r="EW41" s="722"/>
      <c r="EX41" s="722"/>
      <c r="EY41" s="722"/>
      <c r="EZ41" s="722"/>
      <c r="FA41" s="722"/>
      <c r="FB41" s="328"/>
      <c r="FC41" s="722"/>
      <c r="FD41" s="722"/>
      <c r="FF41" s="722"/>
      <c r="FG41" s="722"/>
      <c r="FH41" s="328"/>
      <c r="FI41" s="328"/>
      <c r="FJ41" s="328"/>
      <c r="FK41" s="722"/>
    </row>
    <row r="42" spans="2:167" x14ac:dyDescent="0.25">
      <c r="B42" s="728"/>
      <c r="C42" s="722"/>
      <c r="D42" s="722"/>
      <c r="E42" s="268"/>
      <c r="F42" s="268"/>
      <c r="G42" s="722"/>
      <c r="H42" s="722"/>
      <c r="I42" s="722"/>
      <c r="J42" s="722"/>
      <c r="K42" s="722"/>
      <c r="L42" s="722"/>
      <c r="M42" s="722"/>
      <c r="N42" s="722"/>
      <c r="O42" s="722"/>
      <c r="P42" s="722"/>
      <c r="Q42" s="722"/>
      <c r="R42" s="722"/>
      <c r="S42" s="722"/>
      <c r="T42" s="722"/>
      <c r="U42" s="722"/>
      <c r="V42" s="722"/>
      <c r="X42" s="728"/>
      <c r="Y42" s="722"/>
      <c r="Z42" s="722"/>
      <c r="AA42" s="729"/>
      <c r="AB42" s="729"/>
      <c r="AC42" s="729"/>
      <c r="AD42" s="729"/>
      <c r="AE42" s="729"/>
      <c r="AF42" s="722"/>
      <c r="AG42" s="722"/>
      <c r="AH42" s="328"/>
      <c r="AJ42" s="728"/>
      <c r="AK42" s="722"/>
      <c r="AL42" s="722"/>
      <c r="AM42" s="722"/>
      <c r="AN42" s="328"/>
      <c r="AO42" s="722"/>
      <c r="AP42" s="728"/>
      <c r="AQ42" s="722"/>
      <c r="AR42" s="722"/>
      <c r="AS42" s="722"/>
      <c r="AT42" s="722"/>
      <c r="AU42" s="729"/>
      <c r="AV42" s="722"/>
      <c r="AW42" s="722"/>
      <c r="AX42" s="328"/>
      <c r="AZ42" s="728"/>
      <c r="BA42" s="722"/>
      <c r="BB42" s="722"/>
      <c r="BC42" s="722"/>
      <c r="BD42" s="722"/>
      <c r="BE42" s="328"/>
      <c r="BF42" s="328"/>
      <c r="BG42" s="728"/>
      <c r="BH42" s="722"/>
      <c r="BI42" s="722"/>
      <c r="BJ42" s="722"/>
      <c r="BK42" s="722"/>
      <c r="BL42" s="722"/>
      <c r="BM42" s="729"/>
      <c r="BN42" s="722"/>
      <c r="BO42" s="328"/>
      <c r="BP42" s="722"/>
      <c r="CP42" s="328"/>
      <c r="CQ42" s="249"/>
      <c r="CR42" s="328"/>
      <c r="CS42" s="328"/>
      <c r="CT42" s="328"/>
      <c r="CU42" s="328"/>
      <c r="CV42" s="328"/>
      <c r="CW42" s="328"/>
      <c r="CX42" s="328"/>
      <c r="CY42" s="328"/>
      <c r="CZ42" s="328"/>
      <c r="DA42" s="328"/>
      <c r="DB42" s="328"/>
      <c r="DC42" s="328"/>
      <c r="DD42" s="328"/>
      <c r="EA42" s="728"/>
      <c r="EB42" s="722"/>
      <c r="EC42" s="722"/>
      <c r="ED42" s="722"/>
      <c r="EE42" s="722"/>
      <c r="EF42" s="722"/>
      <c r="EG42" s="722"/>
      <c r="EH42" s="722"/>
      <c r="EI42" s="722"/>
      <c r="EJ42" s="722"/>
      <c r="EK42" s="722"/>
      <c r="EL42" s="722"/>
      <c r="EM42" s="722"/>
      <c r="EN42" s="722"/>
      <c r="EO42" s="722"/>
      <c r="EP42" s="722"/>
      <c r="EQ42" s="268"/>
      <c r="EU42" s="728"/>
      <c r="EV42" s="722"/>
      <c r="EW42" s="722"/>
      <c r="EX42" s="722"/>
      <c r="EY42" s="722"/>
      <c r="EZ42" s="722"/>
      <c r="FA42" s="722"/>
      <c r="FB42" s="328"/>
      <c r="FC42" s="722"/>
      <c r="FD42" s="722"/>
      <c r="FF42" s="722"/>
      <c r="FG42" s="722"/>
      <c r="FH42" s="328"/>
      <c r="FI42" s="328"/>
      <c r="FJ42" s="328"/>
      <c r="FK42" s="722"/>
    </row>
    <row r="43" spans="2:167" x14ac:dyDescent="0.25">
      <c r="B43" s="728"/>
      <c r="C43" s="722"/>
      <c r="D43" s="722"/>
      <c r="E43" s="268"/>
      <c r="F43" s="268"/>
      <c r="G43" s="722"/>
      <c r="H43" s="722"/>
      <c r="I43" s="722"/>
      <c r="J43" s="722"/>
      <c r="K43" s="722"/>
      <c r="L43" s="722"/>
      <c r="M43" s="722"/>
      <c r="N43" s="722"/>
      <c r="O43" s="722"/>
      <c r="P43" s="722"/>
      <c r="Q43" s="722"/>
      <c r="R43" s="722"/>
      <c r="S43" s="722"/>
      <c r="T43" s="722"/>
      <c r="U43" s="722"/>
      <c r="V43" s="722"/>
      <c r="X43" s="728"/>
      <c r="Y43" s="722"/>
      <c r="Z43" s="722"/>
      <c r="AA43" s="729"/>
      <c r="AB43" s="729"/>
      <c r="AC43" s="729"/>
      <c r="AD43" s="729"/>
      <c r="AE43" s="729"/>
      <c r="AF43" s="722"/>
      <c r="AG43" s="722"/>
      <c r="AH43" s="328"/>
      <c r="AJ43" s="728"/>
      <c r="AK43" s="722"/>
      <c r="AL43" s="722"/>
      <c r="AM43" s="722"/>
      <c r="AN43" s="328"/>
      <c r="AO43" s="722"/>
      <c r="AP43" s="728"/>
      <c r="AQ43" s="722"/>
      <c r="AR43" s="722"/>
      <c r="AS43" s="722"/>
      <c r="AT43" s="722"/>
      <c r="AU43" s="729"/>
      <c r="AV43" s="722"/>
      <c r="AW43" s="722"/>
      <c r="AX43" s="328"/>
      <c r="AZ43" s="728"/>
      <c r="BA43" s="722"/>
      <c r="BB43" s="722"/>
      <c r="BC43" s="722"/>
      <c r="BD43" s="722"/>
      <c r="BE43" s="328"/>
      <c r="BF43" s="328"/>
      <c r="BG43" s="728"/>
      <c r="BH43" s="722"/>
      <c r="BI43" s="722"/>
      <c r="BJ43" s="722"/>
      <c r="BK43" s="722"/>
      <c r="BL43" s="722"/>
      <c r="BM43" s="729"/>
      <c r="BN43" s="722"/>
      <c r="BO43" s="328"/>
      <c r="BP43" s="722"/>
      <c r="CP43" s="328"/>
      <c r="CQ43" s="249"/>
      <c r="CR43" s="328"/>
      <c r="CS43" s="328"/>
      <c r="CT43" s="328"/>
      <c r="CU43" s="328"/>
      <c r="CV43" s="328"/>
      <c r="CW43" s="328"/>
      <c r="CX43" s="328"/>
      <c r="CY43" s="328"/>
      <c r="CZ43" s="328"/>
      <c r="DA43" s="328"/>
      <c r="DB43" s="328"/>
      <c r="DC43" s="328"/>
      <c r="DD43" s="328"/>
      <c r="EA43" s="728"/>
      <c r="EB43" s="722"/>
      <c r="EC43" s="722"/>
      <c r="ED43" s="722"/>
      <c r="EE43" s="722"/>
      <c r="EF43" s="722"/>
      <c r="EG43" s="722"/>
      <c r="EH43" s="722"/>
      <c r="EI43" s="722"/>
      <c r="EJ43" s="722"/>
      <c r="EK43" s="722"/>
      <c r="EL43" s="722"/>
      <c r="EM43" s="722"/>
      <c r="EN43" s="722"/>
      <c r="EO43" s="722"/>
      <c r="EP43" s="722"/>
      <c r="EQ43" s="268"/>
      <c r="EU43" s="728"/>
      <c r="EV43" s="722"/>
      <c r="EW43" s="722"/>
      <c r="EX43" s="722"/>
      <c r="EY43" s="722"/>
      <c r="EZ43" s="722"/>
      <c r="FA43" s="722"/>
      <c r="FB43" s="328"/>
      <c r="FC43" s="722"/>
      <c r="FD43" s="722"/>
      <c r="FF43" s="722"/>
      <c r="FG43" s="722"/>
      <c r="FH43" s="328"/>
      <c r="FI43" s="328"/>
      <c r="FJ43" s="328"/>
      <c r="FK43" s="722"/>
    </row>
    <row r="44" spans="2:167" x14ac:dyDescent="0.25">
      <c r="B44" s="728"/>
      <c r="C44" s="722"/>
      <c r="D44" s="722"/>
      <c r="E44" s="268"/>
      <c r="F44" s="268"/>
      <c r="G44" s="722"/>
      <c r="H44" s="722"/>
      <c r="I44" s="722"/>
      <c r="J44" s="722"/>
      <c r="K44" s="722"/>
      <c r="L44" s="722"/>
      <c r="M44" s="722"/>
      <c r="N44" s="722"/>
      <c r="O44" s="722"/>
      <c r="P44" s="722"/>
      <c r="Q44" s="722"/>
      <c r="R44" s="722"/>
      <c r="S44" s="722"/>
      <c r="T44" s="722"/>
      <c r="U44" s="722"/>
      <c r="V44" s="722"/>
      <c r="X44" s="728"/>
      <c r="Y44" s="722"/>
      <c r="Z44" s="722"/>
      <c r="AA44" s="729"/>
      <c r="AB44" s="729"/>
      <c r="AC44" s="729"/>
      <c r="AD44" s="729"/>
      <c r="AE44" s="729"/>
      <c r="AF44" s="722"/>
      <c r="AG44" s="722"/>
      <c r="AH44" s="328"/>
      <c r="AJ44" s="728"/>
      <c r="AK44" s="722"/>
      <c r="AL44" s="722"/>
      <c r="AM44" s="722"/>
      <c r="AN44" s="328"/>
      <c r="AO44" s="722"/>
      <c r="AP44" s="728"/>
      <c r="AQ44" s="722"/>
      <c r="AR44" s="722"/>
      <c r="AS44" s="722"/>
      <c r="AT44" s="722"/>
      <c r="AU44" s="729"/>
      <c r="AV44" s="722"/>
      <c r="AW44" s="722"/>
      <c r="AX44" s="328"/>
      <c r="AZ44" s="728"/>
      <c r="BA44" s="722"/>
      <c r="BB44" s="722"/>
      <c r="BC44" s="722"/>
      <c r="BD44" s="722"/>
      <c r="BE44" s="328"/>
      <c r="BF44" s="328"/>
      <c r="BG44" s="728"/>
      <c r="BH44" s="722"/>
      <c r="BI44" s="722"/>
      <c r="BJ44" s="722"/>
      <c r="BK44" s="722"/>
      <c r="BL44" s="722"/>
      <c r="BM44" s="729"/>
      <c r="BN44" s="722"/>
      <c r="BO44" s="328"/>
      <c r="BP44" s="722"/>
      <c r="CP44" s="328"/>
      <c r="CQ44" s="249"/>
      <c r="CR44" s="328"/>
      <c r="CS44" s="328"/>
      <c r="CT44" s="328"/>
      <c r="CU44" s="328"/>
      <c r="CV44" s="328"/>
      <c r="CW44" s="328"/>
      <c r="CX44" s="328"/>
      <c r="CY44" s="328"/>
      <c r="CZ44" s="328"/>
      <c r="DA44" s="328"/>
      <c r="DB44" s="328"/>
      <c r="DC44" s="328"/>
      <c r="DD44" s="328"/>
      <c r="EA44" s="728"/>
      <c r="EB44" s="722"/>
      <c r="EC44" s="722"/>
      <c r="ED44" s="722"/>
      <c r="EE44" s="722"/>
      <c r="EF44" s="722"/>
      <c r="EG44" s="722"/>
      <c r="EH44" s="722"/>
      <c r="EI44" s="722"/>
      <c r="EJ44" s="722"/>
      <c r="EK44" s="722"/>
      <c r="EL44" s="722"/>
      <c r="EM44" s="722"/>
      <c r="EN44" s="722"/>
      <c r="EO44" s="722"/>
      <c r="EP44" s="722"/>
      <c r="EQ44" s="268"/>
      <c r="EU44" s="728"/>
      <c r="EV44" s="722"/>
      <c r="EW44" s="722"/>
      <c r="EX44" s="722"/>
      <c r="EY44" s="722"/>
      <c r="EZ44" s="722"/>
      <c r="FA44" s="722"/>
      <c r="FB44" s="328"/>
      <c r="FC44" s="722"/>
      <c r="FD44" s="722"/>
      <c r="FF44" s="722"/>
      <c r="FG44" s="722"/>
      <c r="FH44" s="328"/>
      <c r="FI44" s="328"/>
      <c r="FJ44" s="328"/>
      <c r="FK44" s="722"/>
    </row>
    <row r="45" spans="2:167" x14ac:dyDescent="0.25">
      <c r="B45" s="728"/>
      <c r="C45" s="722"/>
      <c r="D45" s="722"/>
      <c r="E45" s="268"/>
      <c r="F45" s="268"/>
      <c r="G45" s="722"/>
      <c r="H45" s="722"/>
      <c r="I45" s="722"/>
      <c r="J45" s="722"/>
      <c r="K45" s="722"/>
      <c r="L45" s="722"/>
      <c r="M45" s="722"/>
      <c r="N45" s="722"/>
      <c r="O45" s="722"/>
      <c r="P45" s="722"/>
      <c r="Q45" s="722"/>
      <c r="R45" s="722"/>
      <c r="S45" s="722"/>
      <c r="T45" s="722"/>
      <c r="U45" s="722"/>
      <c r="V45" s="722"/>
      <c r="X45" s="728"/>
      <c r="Y45" s="722"/>
      <c r="Z45" s="722"/>
      <c r="AA45" s="729"/>
      <c r="AB45" s="729"/>
      <c r="AC45" s="729"/>
      <c r="AD45" s="729"/>
      <c r="AE45" s="729"/>
      <c r="AF45" s="722"/>
      <c r="AG45" s="722"/>
      <c r="AH45" s="328"/>
      <c r="AJ45" s="728"/>
      <c r="AK45" s="722"/>
      <c r="AL45" s="722"/>
      <c r="AM45" s="722"/>
      <c r="AN45" s="328"/>
      <c r="AO45" s="722"/>
      <c r="AP45" s="728"/>
      <c r="AQ45" s="722"/>
      <c r="AR45" s="722"/>
      <c r="AS45" s="722"/>
      <c r="AT45" s="722"/>
      <c r="AU45" s="729"/>
      <c r="AV45" s="722"/>
      <c r="AW45" s="722"/>
      <c r="AX45" s="328"/>
      <c r="AZ45" s="728"/>
      <c r="BA45" s="722"/>
      <c r="BB45" s="722"/>
      <c r="BC45" s="722"/>
      <c r="BD45" s="722"/>
      <c r="BE45" s="328"/>
      <c r="BF45" s="328"/>
      <c r="BG45" s="728"/>
      <c r="BH45" s="722"/>
      <c r="BI45" s="722"/>
      <c r="BJ45" s="722"/>
      <c r="BK45" s="722"/>
      <c r="BL45" s="722"/>
      <c r="BM45" s="729"/>
      <c r="BN45" s="722"/>
      <c r="BO45" s="328"/>
      <c r="BP45" s="722"/>
      <c r="CP45" s="328"/>
      <c r="CQ45" s="249"/>
      <c r="CR45" s="328"/>
      <c r="CS45" s="328"/>
      <c r="CT45" s="328"/>
      <c r="CU45" s="328"/>
      <c r="CV45" s="328"/>
      <c r="CW45" s="328"/>
      <c r="CX45" s="328"/>
      <c r="CY45" s="328"/>
      <c r="CZ45" s="328"/>
      <c r="DA45" s="328"/>
      <c r="DB45" s="328"/>
      <c r="DC45" s="328"/>
      <c r="DD45" s="328"/>
      <c r="EA45" s="728"/>
      <c r="EB45" s="722"/>
      <c r="EC45" s="722"/>
      <c r="ED45" s="722"/>
      <c r="EE45" s="722"/>
      <c r="EF45" s="722"/>
      <c r="EG45" s="722"/>
      <c r="EH45" s="722"/>
      <c r="EI45" s="722"/>
      <c r="EJ45" s="722"/>
      <c r="EK45" s="722"/>
      <c r="EL45" s="722"/>
      <c r="EM45" s="722"/>
      <c r="EN45" s="722"/>
      <c r="EO45" s="722"/>
      <c r="EP45" s="722"/>
      <c r="EQ45" s="268"/>
      <c r="EU45" s="728"/>
      <c r="EV45" s="722"/>
      <c r="EW45" s="722"/>
      <c r="EX45" s="722"/>
      <c r="EY45" s="722"/>
      <c r="EZ45" s="722"/>
      <c r="FA45" s="722"/>
      <c r="FB45" s="328"/>
      <c r="FC45" s="722"/>
      <c r="FD45" s="722"/>
      <c r="FF45" s="722"/>
      <c r="FG45" s="722"/>
      <c r="FH45" s="328"/>
      <c r="FI45" s="328"/>
      <c r="FJ45" s="328"/>
      <c r="FK45" s="722"/>
    </row>
    <row r="46" spans="2:167" ht="15" customHeight="1" x14ac:dyDescent="0.25">
      <c r="B46" s="728"/>
      <c r="C46" s="722"/>
      <c r="D46" s="722"/>
      <c r="E46" s="268"/>
      <c r="F46" s="268"/>
      <c r="G46" s="722"/>
      <c r="H46" s="722"/>
      <c r="I46" s="722"/>
      <c r="J46" s="722"/>
      <c r="K46" s="722"/>
      <c r="L46" s="722"/>
      <c r="M46" s="722"/>
      <c r="N46" s="722"/>
      <c r="O46" s="722"/>
      <c r="P46" s="722"/>
      <c r="Q46" s="722"/>
      <c r="R46" s="722"/>
      <c r="S46" s="722"/>
      <c r="T46" s="722"/>
      <c r="U46" s="722"/>
      <c r="V46" s="722"/>
      <c r="X46" s="728"/>
      <c r="Y46" s="722"/>
      <c r="Z46" s="722"/>
      <c r="AA46" s="729"/>
      <c r="AB46" s="729"/>
      <c r="AC46" s="729"/>
      <c r="AD46" s="729"/>
      <c r="AE46" s="729"/>
      <c r="AF46" s="722"/>
      <c r="AG46" s="722"/>
      <c r="AH46" s="328"/>
      <c r="AJ46" s="728"/>
      <c r="AK46" s="722"/>
      <c r="AL46" s="722"/>
      <c r="AM46" s="722"/>
      <c r="AN46" s="328"/>
      <c r="AO46" s="722"/>
      <c r="AP46" s="728"/>
      <c r="AQ46" s="722"/>
      <c r="AR46" s="722"/>
      <c r="AS46" s="722"/>
      <c r="AT46" s="722"/>
      <c r="AU46" s="729"/>
      <c r="AV46" s="722"/>
      <c r="AW46" s="722"/>
      <c r="AX46" s="328"/>
      <c r="AZ46" s="728"/>
      <c r="BA46" s="722"/>
      <c r="BB46" s="722"/>
      <c r="BC46" s="722"/>
      <c r="BD46" s="722"/>
      <c r="BE46" s="328"/>
      <c r="BF46" s="328"/>
      <c r="BG46" s="728"/>
      <c r="BH46" s="722"/>
      <c r="BI46" s="722"/>
      <c r="BJ46" s="722"/>
      <c r="BK46" s="722"/>
      <c r="BL46" s="722"/>
      <c r="BM46" s="729"/>
      <c r="BN46" s="722"/>
      <c r="BO46" s="328"/>
      <c r="BP46" s="722"/>
      <c r="CP46" s="328"/>
      <c r="CQ46" s="249"/>
      <c r="CR46" s="328"/>
      <c r="CS46" s="328"/>
      <c r="CT46" s="328"/>
      <c r="CU46" s="328"/>
      <c r="CV46" s="328"/>
      <c r="CW46" s="328"/>
      <c r="CX46" s="328"/>
      <c r="CY46" s="328"/>
      <c r="CZ46" s="328"/>
      <c r="DA46" s="328"/>
      <c r="DB46" s="328"/>
      <c r="DC46" s="328"/>
      <c r="DD46" s="328"/>
      <c r="EA46" s="728"/>
      <c r="EB46" s="722"/>
      <c r="EC46" s="722"/>
      <c r="ED46" s="722"/>
      <c r="EE46" s="722"/>
      <c r="EF46" s="722"/>
      <c r="EG46" s="722"/>
      <c r="EH46" s="722"/>
      <c r="EI46" s="722"/>
      <c r="EJ46" s="722"/>
      <c r="EK46" s="722"/>
      <c r="EL46" s="722"/>
      <c r="EM46" s="722"/>
      <c r="EN46" s="722"/>
      <c r="EO46" s="722"/>
      <c r="EP46" s="722"/>
      <c r="EQ46" s="268"/>
      <c r="EU46" s="728"/>
      <c r="EV46" s="722"/>
      <c r="EW46" s="722"/>
      <c r="EX46" s="722"/>
      <c r="EY46" s="722"/>
      <c r="EZ46" s="722"/>
      <c r="FA46" s="722"/>
      <c r="FB46" s="328"/>
      <c r="FC46" s="722"/>
      <c r="FD46" s="722"/>
      <c r="FF46" s="722"/>
      <c r="FG46" s="722"/>
      <c r="FH46" s="328"/>
      <c r="FI46" s="328"/>
      <c r="FJ46" s="328"/>
      <c r="FK46" s="722"/>
    </row>
  </sheetData>
  <sheetProtection selectLockedCells="1"/>
  <mergeCells count="114">
    <mergeCell ref="FA29:FA46"/>
    <mergeCell ref="FC29:FC46"/>
    <mergeCell ref="FD29:FD46"/>
    <mergeCell ref="FF29:FF46"/>
    <mergeCell ref="FG29:FG46"/>
    <mergeCell ref="FK29:FK46"/>
    <mergeCell ref="EU29:EU46"/>
    <mergeCell ref="EV29:EV46"/>
    <mergeCell ref="EW29:EW46"/>
    <mergeCell ref="EX29:EX46"/>
    <mergeCell ref="EY29:EY46"/>
    <mergeCell ref="EZ29:EZ46"/>
    <mergeCell ref="EK29:EK46"/>
    <mergeCell ref="EL29:EL46"/>
    <mergeCell ref="EM29:EM46"/>
    <mergeCell ref="EN29:EN46"/>
    <mergeCell ref="EO29:EO46"/>
    <mergeCell ref="EP29:EP46"/>
    <mergeCell ref="EE29:EE46"/>
    <mergeCell ref="EF29:EF46"/>
    <mergeCell ref="EG29:EG46"/>
    <mergeCell ref="EH29:EH46"/>
    <mergeCell ref="EI29:EI46"/>
    <mergeCell ref="EJ29:EJ46"/>
    <mergeCell ref="BP29:BP46"/>
    <mergeCell ref="CT29:CT39"/>
    <mergeCell ref="EA29:EA46"/>
    <mergeCell ref="EB29:EB46"/>
    <mergeCell ref="EC29:EC46"/>
    <mergeCell ref="ED29:ED46"/>
    <mergeCell ref="BI29:BI46"/>
    <mergeCell ref="BJ29:BJ46"/>
    <mergeCell ref="BK29:BK46"/>
    <mergeCell ref="BL29:BL46"/>
    <mergeCell ref="BM29:BM46"/>
    <mergeCell ref="BN29:BN46"/>
    <mergeCell ref="BA29:BA46"/>
    <mergeCell ref="BB29:BB46"/>
    <mergeCell ref="BC29:BC46"/>
    <mergeCell ref="BD29:BD46"/>
    <mergeCell ref="BG29:BG46"/>
    <mergeCell ref="BH29:BH46"/>
    <mergeCell ref="AS29:AS46"/>
    <mergeCell ref="AT29:AT46"/>
    <mergeCell ref="AU29:AU46"/>
    <mergeCell ref="AV29:AV46"/>
    <mergeCell ref="AW29:AW46"/>
    <mergeCell ref="AZ29:AZ46"/>
    <mergeCell ref="AL29:AL46"/>
    <mergeCell ref="AM29:AM46"/>
    <mergeCell ref="AO29:AO46"/>
    <mergeCell ref="AP29:AP46"/>
    <mergeCell ref="AQ29:AQ46"/>
    <mergeCell ref="AR29:AR46"/>
    <mergeCell ref="AD29:AD46"/>
    <mergeCell ref="AE29:AE46"/>
    <mergeCell ref="AF29:AF46"/>
    <mergeCell ref="AG29:AG46"/>
    <mergeCell ref="AJ29:AJ46"/>
    <mergeCell ref="AK29:AK46"/>
    <mergeCell ref="Z29:Z46"/>
    <mergeCell ref="AA29:AA46"/>
    <mergeCell ref="AB29:AB46"/>
    <mergeCell ref="AC29:AC46"/>
    <mergeCell ref="Q29:Q46"/>
    <mergeCell ref="R29:R46"/>
    <mergeCell ref="S29:S46"/>
    <mergeCell ref="T29:T46"/>
    <mergeCell ref="U29:U46"/>
    <mergeCell ref="V29:V46"/>
    <mergeCell ref="FF2:FK2"/>
    <mergeCell ref="B4:V4"/>
    <mergeCell ref="X4:AG4"/>
    <mergeCell ref="AJ4:AW4"/>
    <mergeCell ref="DU4:DX4"/>
    <mergeCell ref="EA4:EP4"/>
    <mergeCell ref="K29:K46"/>
    <mergeCell ref="L29:L46"/>
    <mergeCell ref="M29:M46"/>
    <mergeCell ref="N29:N46"/>
    <mergeCell ref="O29:O46"/>
    <mergeCell ref="P29:P46"/>
    <mergeCell ref="EU4:FD4"/>
    <mergeCell ref="FF4:FK4"/>
    <mergeCell ref="B12:V12"/>
    <mergeCell ref="B29:B46"/>
    <mergeCell ref="C29:C46"/>
    <mergeCell ref="D29:D46"/>
    <mergeCell ref="G29:G46"/>
    <mergeCell ref="H29:H46"/>
    <mergeCell ref="I29:I46"/>
    <mergeCell ref="J29:J46"/>
    <mergeCell ref="X29:X46"/>
    <mergeCell ref="Y29:Y46"/>
    <mergeCell ref="DU1:DX1"/>
    <mergeCell ref="EA1:EP1"/>
    <mergeCell ref="EU1:FD1"/>
    <mergeCell ref="B2:V2"/>
    <mergeCell ref="X2:AG2"/>
    <mergeCell ref="AJ2:AW2"/>
    <mergeCell ref="AZ2:BP2"/>
    <mergeCell ref="BS2:CF2"/>
    <mergeCell ref="CI2:CP2"/>
    <mergeCell ref="CS2:DC2"/>
    <mergeCell ref="B1:V1"/>
    <mergeCell ref="X1:AG1"/>
    <mergeCell ref="AJ1:AW1"/>
    <mergeCell ref="AZ1:BP1"/>
    <mergeCell ref="BS1:CF1"/>
    <mergeCell ref="DF1:DR1"/>
    <mergeCell ref="DF2:DR2"/>
    <mergeCell ref="DU2:DX2"/>
    <mergeCell ref="EA2:EP2"/>
    <mergeCell ref="EU2:FD2"/>
  </mergeCells>
  <pageMargins left="0.81" right="0.53" top="0.45" bottom="0.43" header="0.27" footer="0.28000000000000003"/>
  <pageSetup paperSize="9" scale="50" orientation="landscape" r:id="rId1"/>
  <colBreaks count="9" manualBreakCount="9">
    <brk id="22" max="43" man="1"/>
    <brk id="34" max="43" man="1"/>
    <brk id="49" max="43" man="1"/>
    <brk id="68" max="43" man="1"/>
    <brk id="84" max="43" man="1"/>
    <brk id="95" max="43" man="1"/>
    <brk id="108" max="43" man="1"/>
    <brk id="129" max="43" man="1"/>
    <brk id="148" max="4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view="pageBreakPreview" zoomScaleNormal="100" zoomScaleSheetLayoutView="100" workbookViewId="0">
      <selection sqref="A1:K2"/>
    </sheetView>
  </sheetViews>
  <sheetFormatPr baseColWidth="10" defaultRowHeight="12.75" x14ac:dyDescent="0.2"/>
  <cols>
    <col min="1" max="1" width="16.28515625" style="292" customWidth="1"/>
    <col min="2" max="4" width="10.5703125" style="292" customWidth="1"/>
    <col min="5" max="5" width="14.7109375" style="292" customWidth="1"/>
    <col min="6" max="6" width="12.140625" style="292" customWidth="1"/>
    <col min="7" max="7" width="13.85546875" style="292" customWidth="1"/>
    <col min="8" max="8" width="12.7109375" style="292" customWidth="1"/>
    <col min="9" max="9" width="12.42578125" style="292" customWidth="1"/>
    <col min="10" max="10" width="11.7109375" style="292" customWidth="1"/>
    <col min="11" max="11" width="13.42578125" style="292" customWidth="1"/>
    <col min="12" max="12" width="12.42578125" style="292" customWidth="1"/>
    <col min="13" max="14" width="11.7109375" style="292" customWidth="1"/>
    <col min="15" max="15" width="13.5703125" style="292" customWidth="1"/>
    <col min="16" max="16" width="13.28515625" style="292" customWidth="1"/>
    <col min="17" max="17" width="11.5703125" style="292" customWidth="1"/>
    <col min="18" max="256" width="11.5703125" style="292"/>
    <col min="257" max="257" width="16.28515625" style="292" customWidth="1"/>
    <col min="258" max="260" width="10.5703125" style="292" customWidth="1"/>
    <col min="261" max="261" width="14.7109375" style="292" customWidth="1"/>
    <col min="262" max="262" width="12.140625" style="292" customWidth="1"/>
    <col min="263" max="263" width="13.85546875" style="292" customWidth="1"/>
    <col min="264" max="264" width="12.7109375" style="292" customWidth="1"/>
    <col min="265" max="265" width="12.42578125" style="292" bestFit="1" customWidth="1"/>
    <col min="266" max="266" width="11.7109375" style="292" customWidth="1"/>
    <col min="267" max="267" width="13.42578125" style="292" customWidth="1"/>
    <col min="268" max="268" width="12.42578125" style="292" bestFit="1" customWidth="1"/>
    <col min="269" max="270" width="11.7109375" style="292" customWidth="1"/>
    <col min="271" max="271" width="13.5703125" style="292" customWidth="1"/>
    <col min="272" max="272" width="13.28515625" style="292" customWidth="1"/>
    <col min="273" max="512" width="11.5703125" style="292"/>
    <col min="513" max="513" width="16.28515625" style="292" customWidth="1"/>
    <col min="514" max="516" width="10.5703125" style="292" customWidth="1"/>
    <col min="517" max="517" width="14.7109375" style="292" customWidth="1"/>
    <col min="518" max="518" width="12.140625" style="292" customWidth="1"/>
    <col min="519" max="519" width="13.85546875" style="292" customWidth="1"/>
    <col min="520" max="520" width="12.7109375" style="292" customWidth="1"/>
    <col min="521" max="521" width="12.42578125" style="292" bestFit="1" customWidth="1"/>
    <col min="522" max="522" width="11.7109375" style="292" customWidth="1"/>
    <col min="523" max="523" width="13.42578125" style="292" customWidth="1"/>
    <col min="524" max="524" width="12.42578125" style="292" bestFit="1" customWidth="1"/>
    <col min="525" max="526" width="11.7109375" style="292" customWidth="1"/>
    <col min="527" max="527" width="13.5703125" style="292" customWidth="1"/>
    <col min="528" max="528" width="13.28515625" style="292" customWidth="1"/>
    <col min="529" max="768" width="11.5703125" style="292"/>
    <col min="769" max="769" width="16.28515625" style="292" customWidth="1"/>
    <col min="770" max="772" width="10.5703125" style="292" customWidth="1"/>
    <col min="773" max="773" width="14.7109375" style="292" customWidth="1"/>
    <col min="774" max="774" width="12.140625" style="292" customWidth="1"/>
    <col min="775" max="775" width="13.85546875" style="292" customWidth="1"/>
    <col min="776" max="776" width="12.7109375" style="292" customWidth="1"/>
    <col min="777" max="777" width="12.42578125" style="292" bestFit="1" customWidth="1"/>
    <col min="778" max="778" width="11.7109375" style="292" customWidth="1"/>
    <col min="779" max="779" width="13.42578125" style="292" customWidth="1"/>
    <col min="780" max="780" width="12.42578125" style="292" bestFit="1" customWidth="1"/>
    <col min="781" max="782" width="11.7109375" style="292" customWidth="1"/>
    <col min="783" max="783" width="13.5703125" style="292" customWidth="1"/>
    <col min="784" max="784" width="13.28515625" style="292" customWidth="1"/>
    <col min="785" max="1024" width="11.5703125" style="292"/>
    <col min="1025" max="1025" width="16.28515625" style="292" customWidth="1"/>
    <col min="1026" max="1028" width="10.5703125" style="292" customWidth="1"/>
    <col min="1029" max="1029" width="14.7109375" style="292" customWidth="1"/>
    <col min="1030" max="1030" width="12.140625" style="292" customWidth="1"/>
    <col min="1031" max="1031" width="13.85546875" style="292" customWidth="1"/>
    <col min="1032" max="1032" width="12.7109375" style="292" customWidth="1"/>
    <col min="1033" max="1033" width="12.42578125" style="292" bestFit="1" customWidth="1"/>
    <col min="1034" max="1034" width="11.7109375" style="292" customWidth="1"/>
    <col min="1035" max="1035" width="13.42578125" style="292" customWidth="1"/>
    <col min="1036" max="1036" width="12.42578125" style="292" bestFit="1" customWidth="1"/>
    <col min="1037" max="1038" width="11.7109375" style="292" customWidth="1"/>
    <col min="1039" max="1039" width="13.5703125" style="292" customWidth="1"/>
    <col min="1040" max="1040" width="13.28515625" style="292" customWidth="1"/>
    <col min="1041" max="1280" width="11.5703125" style="292"/>
    <col min="1281" max="1281" width="16.28515625" style="292" customWidth="1"/>
    <col min="1282" max="1284" width="10.5703125" style="292" customWidth="1"/>
    <col min="1285" max="1285" width="14.7109375" style="292" customWidth="1"/>
    <col min="1286" max="1286" width="12.140625" style="292" customWidth="1"/>
    <col min="1287" max="1287" width="13.85546875" style="292" customWidth="1"/>
    <col min="1288" max="1288" width="12.7109375" style="292" customWidth="1"/>
    <col min="1289" max="1289" width="12.42578125" style="292" bestFit="1" customWidth="1"/>
    <col min="1290" max="1290" width="11.7109375" style="292" customWidth="1"/>
    <col min="1291" max="1291" width="13.42578125" style="292" customWidth="1"/>
    <col min="1292" max="1292" width="12.42578125" style="292" bestFit="1" customWidth="1"/>
    <col min="1293" max="1294" width="11.7109375" style="292" customWidth="1"/>
    <col min="1295" max="1295" width="13.5703125" style="292" customWidth="1"/>
    <col min="1296" max="1296" width="13.28515625" style="292" customWidth="1"/>
    <col min="1297" max="1536" width="11.5703125" style="292"/>
    <col min="1537" max="1537" width="16.28515625" style="292" customWidth="1"/>
    <col min="1538" max="1540" width="10.5703125" style="292" customWidth="1"/>
    <col min="1541" max="1541" width="14.7109375" style="292" customWidth="1"/>
    <col min="1542" max="1542" width="12.140625" style="292" customWidth="1"/>
    <col min="1543" max="1543" width="13.85546875" style="292" customWidth="1"/>
    <col min="1544" max="1544" width="12.7109375" style="292" customWidth="1"/>
    <col min="1545" max="1545" width="12.42578125" style="292" bestFit="1" customWidth="1"/>
    <col min="1546" max="1546" width="11.7109375" style="292" customWidth="1"/>
    <col min="1547" max="1547" width="13.42578125" style="292" customWidth="1"/>
    <col min="1548" max="1548" width="12.42578125" style="292" bestFit="1" customWidth="1"/>
    <col min="1549" max="1550" width="11.7109375" style="292" customWidth="1"/>
    <col min="1551" max="1551" width="13.5703125" style="292" customWidth="1"/>
    <col min="1552" max="1552" width="13.28515625" style="292" customWidth="1"/>
    <col min="1553" max="1792" width="11.5703125" style="292"/>
    <col min="1793" max="1793" width="16.28515625" style="292" customWidth="1"/>
    <col min="1794" max="1796" width="10.5703125" style="292" customWidth="1"/>
    <col min="1797" max="1797" width="14.7109375" style="292" customWidth="1"/>
    <col min="1798" max="1798" width="12.140625" style="292" customWidth="1"/>
    <col min="1799" max="1799" width="13.85546875" style="292" customWidth="1"/>
    <col min="1800" max="1800" width="12.7109375" style="292" customWidth="1"/>
    <col min="1801" max="1801" width="12.42578125" style="292" bestFit="1" customWidth="1"/>
    <col min="1802" max="1802" width="11.7109375" style="292" customWidth="1"/>
    <col min="1803" max="1803" width="13.42578125" style="292" customWidth="1"/>
    <col min="1804" max="1804" width="12.42578125" style="292" bestFit="1" customWidth="1"/>
    <col min="1805" max="1806" width="11.7109375" style="292" customWidth="1"/>
    <col min="1807" max="1807" width="13.5703125" style="292" customWidth="1"/>
    <col min="1808" max="1808" width="13.28515625" style="292" customWidth="1"/>
    <col min="1809" max="2048" width="11.5703125" style="292"/>
    <col min="2049" max="2049" width="16.28515625" style="292" customWidth="1"/>
    <col min="2050" max="2052" width="10.5703125" style="292" customWidth="1"/>
    <col min="2053" max="2053" width="14.7109375" style="292" customWidth="1"/>
    <col min="2054" max="2054" width="12.140625" style="292" customWidth="1"/>
    <col min="2055" max="2055" width="13.85546875" style="292" customWidth="1"/>
    <col min="2056" max="2056" width="12.7109375" style="292" customWidth="1"/>
    <col min="2057" max="2057" width="12.42578125" style="292" bestFit="1" customWidth="1"/>
    <col min="2058" max="2058" width="11.7109375" style="292" customWidth="1"/>
    <col min="2059" max="2059" width="13.42578125" style="292" customWidth="1"/>
    <col min="2060" max="2060" width="12.42578125" style="292" bestFit="1" customWidth="1"/>
    <col min="2061" max="2062" width="11.7109375" style="292" customWidth="1"/>
    <col min="2063" max="2063" width="13.5703125" style="292" customWidth="1"/>
    <col min="2064" max="2064" width="13.28515625" style="292" customWidth="1"/>
    <col min="2065" max="2304" width="11.5703125" style="292"/>
    <col min="2305" max="2305" width="16.28515625" style="292" customWidth="1"/>
    <col min="2306" max="2308" width="10.5703125" style="292" customWidth="1"/>
    <col min="2309" max="2309" width="14.7109375" style="292" customWidth="1"/>
    <col min="2310" max="2310" width="12.140625" style="292" customWidth="1"/>
    <col min="2311" max="2311" width="13.85546875" style="292" customWidth="1"/>
    <col min="2312" max="2312" width="12.7109375" style="292" customWidth="1"/>
    <col min="2313" max="2313" width="12.42578125" style="292" bestFit="1" customWidth="1"/>
    <col min="2314" max="2314" width="11.7109375" style="292" customWidth="1"/>
    <col min="2315" max="2315" width="13.42578125" style="292" customWidth="1"/>
    <col min="2316" max="2316" width="12.42578125" style="292" bestFit="1" customWidth="1"/>
    <col min="2317" max="2318" width="11.7109375" style="292" customWidth="1"/>
    <col min="2319" max="2319" width="13.5703125" style="292" customWidth="1"/>
    <col min="2320" max="2320" width="13.28515625" style="292" customWidth="1"/>
    <col min="2321" max="2560" width="11.5703125" style="292"/>
    <col min="2561" max="2561" width="16.28515625" style="292" customWidth="1"/>
    <col min="2562" max="2564" width="10.5703125" style="292" customWidth="1"/>
    <col min="2565" max="2565" width="14.7109375" style="292" customWidth="1"/>
    <col min="2566" max="2566" width="12.140625" style="292" customWidth="1"/>
    <col min="2567" max="2567" width="13.85546875" style="292" customWidth="1"/>
    <col min="2568" max="2568" width="12.7109375" style="292" customWidth="1"/>
    <col min="2569" max="2569" width="12.42578125" style="292" bestFit="1" customWidth="1"/>
    <col min="2570" max="2570" width="11.7109375" style="292" customWidth="1"/>
    <col min="2571" max="2571" width="13.42578125" style="292" customWidth="1"/>
    <col min="2572" max="2572" width="12.42578125" style="292" bestFit="1" customWidth="1"/>
    <col min="2573" max="2574" width="11.7109375" style="292" customWidth="1"/>
    <col min="2575" max="2575" width="13.5703125" style="292" customWidth="1"/>
    <col min="2576" max="2576" width="13.28515625" style="292" customWidth="1"/>
    <col min="2577" max="2816" width="11.5703125" style="292"/>
    <col min="2817" max="2817" width="16.28515625" style="292" customWidth="1"/>
    <col min="2818" max="2820" width="10.5703125" style="292" customWidth="1"/>
    <col min="2821" max="2821" width="14.7109375" style="292" customWidth="1"/>
    <col min="2822" max="2822" width="12.140625" style="292" customWidth="1"/>
    <col min="2823" max="2823" width="13.85546875" style="292" customWidth="1"/>
    <col min="2824" max="2824" width="12.7109375" style="292" customWidth="1"/>
    <col min="2825" max="2825" width="12.42578125" style="292" bestFit="1" customWidth="1"/>
    <col min="2826" max="2826" width="11.7109375" style="292" customWidth="1"/>
    <col min="2827" max="2827" width="13.42578125" style="292" customWidth="1"/>
    <col min="2828" max="2828" width="12.42578125" style="292" bestFit="1" customWidth="1"/>
    <col min="2829" max="2830" width="11.7109375" style="292" customWidth="1"/>
    <col min="2831" max="2831" width="13.5703125" style="292" customWidth="1"/>
    <col min="2832" max="2832" width="13.28515625" style="292" customWidth="1"/>
    <col min="2833" max="3072" width="11.5703125" style="292"/>
    <col min="3073" max="3073" width="16.28515625" style="292" customWidth="1"/>
    <col min="3074" max="3076" width="10.5703125" style="292" customWidth="1"/>
    <col min="3077" max="3077" width="14.7109375" style="292" customWidth="1"/>
    <col min="3078" max="3078" width="12.140625" style="292" customWidth="1"/>
    <col min="3079" max="3079" width="13.85546875" style="292" customWidth="1"/>
    <col min="3080" max="3080" width="12.7109375" style="292" customWidth="1"/>
    <col min="3081" max="3081" width="12.42578125" style="292" bestFit="1" customWidth="1"/>
    <col min="3082" max="3082" width="11.7109375" style="292" customWidth="1"/>
    <col min="3083" max="3083" width="13.42578125" style="292" customWidth="1"/>
    <col min="3084" max="3084" width="12.42578125" style="292" bestFit="1" customWidth="1"/>
    <col min="3085" max="3086" width="11.7109375" style="292" customWidth="1"/>
    <col min="3087" max="3087" width="13.5703125" style="292" customWidth="1"/>
    <col min="3088" max="3088" width="13.28515625" style="292" customWidth="1"/>
    <col min="3089" max="3328" width="11.5703125" style="292"/>
    <col min="3329" max="3329" width="16.28515625" style="292" customWidth="1"/>
    <col min="3330" max="3332" width="10.5703125" style="292" customWidth="1"/>
    <col min="3333" max="3333" width="14.7109375" style="292" customWidth="1"/>
    <col min="3334" max="3334" width="12.140625" style="292" customWidth="1"/>
    <col min="3335" max="3335" width="13.85546875" style="292" customWidth="1"/>
    <col min="3336" max="3336" width="12.7109375" style="292" customWidth="1"/>
    <col min="3337" max="3337" width="12.42578125" style="292" bestFit="1" customWidth="1"/>
    <col min="3338" max="3338" width="11.7109375" style="292" customWidth="1"/>
    <col min="3339" max="3339" width="13.42578125" style="292" customWidth="1"/>
    <col min="3340" max="3340" width="12.42578125" style="292" bestFit="1" customWidth="1"/>
    <col min="3341" max="3342" width="11.7109375" style="292" customWidth="1"/>
    <col min="3343" max="3343" width="13.5703125" style="292" customWidth="1"/>
    <col min="3344" max="3344" width="13.28515625" style="292" customWidth="1"/>
    <col min="3345" max="3584" width="11.5703125" style="292"/>
    <col min="3585" max="3585" width="16.28515625" style="292" customWidth="1"/>
    <col min="3586" max="3588" width="10.5703125" style="292" customWidth="1"/>
    <col min="3589" max="3589" width="14.7109375" style="292" customWidth="1"/>
    <col min="3590" max="3590" width="12.140625" style="292" customWidth="1"/>
    <col min="3591" max="3591" width="13.85546875" style="292" customWidth="1"/>
    <col min="3592" max="3592" width="12.7109375" style="292" customWidth="1"/>
    <col min="3593" max="3593" width="12.42578125" style="292" bestFit="1" customWidth="1"/>
    <col min="3594" max="3594" width="11.7109375" style="292" customWidth="1"/>
    <col min="3595" max="3595" width="13.42578125" style="292" customWidth="1"/>
    <col min="3596" max="3596" width="12.42578125" style="292" bestFit="1" customWidth="1"/>
    <col min="3597" max="3598" width="11.7109375" style="292" customWidth="1"/>
    <col min="3599" max="3599" width="13.5703125" style="292" customWidth="1"/>
    <col min="3600" max="3600" width="13.28515625" style="292" customWidth="1"/>
    <col min="3601" max="3840" width="11.5703125" style="292"/>
    <col min="3841" max="3841" width="16.28515625" style="292" customWidth="1"/>
    <col min="3842" max="3844" width="10.5703125" style="292" customWidth="1"/>
    <col min="3845" max="3845" width="14.7109375" style="292" customWidth="1"/>
    <col min="3846" max="3846" width="12.140625" style="292" customWidth="1"/>
    <col min="3847" max="3847" width="13.85546875" style="292" customWidth="1"/>
    <col min="3848" max="3848" width="12.7109375" style="292" customWidth="1"/>
    <col min="3849" max="3849" width="12.42578125" style="292" bestFit="1" customWidth="1"/>
    <col min="3850" max="3850" width="11.7109375" style="292" customWidth="1"/>
    <col min="3851" max="3851" width="13.42578125" style="292" customWidth="1"/>
    <col min="3852" max="3852" width="12.42578125" style="292" bestFit="1" customWidth="1"/>
    <col min="3853" max="3854" width="11.7109375" style="292" customWidth="1"/>
    <col min="3855" max="3855" width="13.5703125" style="292" customWidth="1"/>
    <col min="3856" max="3856" width="13.28515625" style="292" customWidth="1"/>
    <col min="3857" max="4096" width="11.5703125" style="292"/>
    <col min="4097" max="4097" width="16.28515625" style="292" customWidth="1"/>
    <col min="4098" max="4100" width="10.5703125" style="292" customWidth="1"/>
    <col min="4101" max="4101" width="14.7109375" style="292" customWidth="1"/>
    <col min="4102" max="4102" width="12.140625" style="292" customWidth="1"/>
    <col min="4103" max="4103" width="13.85546875" style="292" customWidth="1"/>
    <col min="4104" max="4104" width="12.7109375" style="292" customWidth="1"/>
    <col min="4105" max="4105" width="12.42578125" style="292" bestFit="1" customWidth="1"/>
    <col min="4106" max="4106" width="11.7109375" style="292" customWidth="1"/>
    <col min="4107" max="4107" width="13.42578125" style="292" customWidth="1"/>
    <col min="4108" max="4108" width="12.42578125" style="292" bestFit="1" customWidth="1"/>
    <col min="4109" max="4110" width="11.7109375" style="292" customWidth="1"/>
    <col min="4111" max="4111" width="13.5703125" style="292" customWidth="1"/>
    <col min="4112" max="4112" width="13.28515625" style="292" customWidth="1"/>
    <col min="4113" max="4352" width="11.5703125" style="292"/>
    <col min="4353" max="4353" width="16.28515625" style="292" customWidth="1"/>
    <col min="4354" max="4356" width="10.5703125" style="292" customWidth="1"/>
    <col min="4357" max="4357" width="14.7109375" style="292" customWidth="1"/>
    <col min="4358" max="4358" width="12.140625" style="292" customWidth="1"/>
    <col min="4359" max="4359" width="13.85546875" style="292" customWidth="1"/>
    <col min="4360" max="4360" width="12.7109375" style="292" customWidth="1"/>
    <col min="4361" max="4361" width="12.42578125" style="292" bestFit="1" customWidth="1"/>
    <col min="4362" max="4362" width="11.7109375" style="292" customWidth="1"/>
    <col min="4363" max="4363" width="13.42578125" style="292" customWidth="1"/>
    <col min="4364" max="4364" width="12.42578125" style="292" bestFit="1" customWidth="1"/>
    <col min="4365" max="4366" width="11.7109375" style="292" customWidth="1"/>
    <col min="4367" max="4367" width="13.5703125" style="292" customWidth="1"/>
    <col min="4368" max="4368" width="13.28515625" style="292" customWidth="1"/>
    <col min="4369" max="4608" width="11.5703125" style="292"/>
    <col min="4609" max="4609" width="16.28515625" style="292" customWidth="1"/>
    <col min="4610" max="4612" width="10.5703125" style="292" customWidth="1"/>
    <col min="4613" max="4613" width="14.7109375" style="292" customWidth="1"/>
    <col min="4614" max="4614" width="12.140625" style="292" customWidth="1"/>
    <col min="4615" max="4615" width="13.85546875" style="292" customWidth="1"/>
    <col min="4616" max="4616" width="12.7109375" style="292" customWidth="1"/>
    <col min="4617" max="4617" width="12.42578125" style="292" bestFit="1" customWidth="1"/>
    <col min="4618" max="4618" width="11.7109375" style="292" customWidth="1"/>
    <col min="4619" max="4619" width="13.42578125" style="292" customWidth="1"/>
    <col min="4620" max="4620" width="12.42578125" style="292" bestFit="1" customWidth="1"/>
    <col min="4621" max="4622" width="11.7109375" style="292" customWidth="1"/>
    <col min="4623" max="4623" width="13.5703125" style="292" customWidth="1"/>
    <col min="4624" max="4624" width="13.28515625" style="292" customWidth="1"/>
    <col min="4625" max="4864" width="11.5703125" style="292"/>
    <col min="4865" max="4865" width="16.28515625" style="292" customWidth="1"/>
    <col min="4866" max="4868" width="10.5703125" style="292" customWidth="1"/>
    <col min="4869" max="4869" width="14.7109375" style="292" customWidth="1"/>
    <col min="4870" max="4870" width="12.140625" style="292" customWidth="1"/>
    <col min="4871" max="4871" width="13.85546875" style="292" customWidth="1"/>
    <col min="4872" max="4872" width="12.7109375" style="292" customWidth="1"/>
    <col min="4873" max="4873" width="12.42578125" style="292" bestFit="1" customWidth="1"/>
    <col min="4874" max="4874" width="11.7109375" style="292" customWidth="1"/>
    <col min="4875" max="4875" width="13.42578125" style="292" customWidth="1"/>
    <col min="4876" max="4876" width="12.42578125" style="292" bestFit="1" customWidth="1"/>
    <col min="4877" max="4878" width="11.7109375" style="292" customWidth="1"/>
    <col min="4879" max="4879" width="13.5703125" style="292" customWidth="1"/>
    <col min="4880" max="4880" width="13.28515625" style="292" customWidth="1"/>
    <col min="4881" max="5120" width="11.5703125" style="292"/>
    <col min="5121" max="5121" width="16.28515625" style="292" customWidth="1"/>
    <col min="5122" max="5124" width="10.5703125" style="292" customWidth="1"/>
    <col min="5125" max="5125" width="14.7109375" style="292" customWidth="1"/>
    <col min="5126" max="5126" width="12.140625" style="292" customWidth="1"/>
    <col min="5127" max="5127" width="13.85546875" style="292" customWidth="1"/>
    <col min="5128" max="5128" width="12.7109375" style="292" customWidth="1"/>
    <col min="5129" max="5129" width="12.42578125" style="292" bestFit="1" customWidth="1"/>
    <col min="5130" max="5130" width="11.7109375" style="292" customWidth="1"/>
    <col min="5131" max="5131" width="13.42578125" style="292" customWidth="1"/>
    <col min="5132" max="5132" width="12.42578125" style="292" bestFit="1" customWidth="1"/>
    <col min="5133" max="5134" width="11.7109375" style="292" customWidth="1"/>
    <col min="5135" max="5135" width="13.5703125" style="292" customWidth="1"/>
    <col min="5136" max="5136" width="13.28515625" style="292" customWidth="1"/>
    <col min="5137" max="5376" width="11.5703125" style="292"/>
    <col min="5377" max="5377" width="16.28515625" style="292" customWidth="1"/>
    <col min="5378" max="5380" width="10.5703125" style="292" customWidth="1"/>
    <col min="5381" max="5381" width="14.7109375" style="292" customWidth="1"/>
    <col min="5382" max="5382" width="12.140625" style="292" customWidth="1"/>
    <col min="5383" max="5383" width="13.85546875" style="292" customWidth="1"/>
    <col min="5384" max="5384" width="12.7109375" style="292" customWidth="1"/>
    <col min="5385" max="5385" width="12.42578125" style="292" bestFit="1" customWidth="1"/>
    <col min="5386" max="5386" width="11.7109375" style="292" customWidth="1"/>
    <col min="5387" max="5387" width="13.42578125" style="292" customWidth="1"/>
    <col min="5388" max="5388" width="12.42578125" style="292" bestFit="1" customWidth="1"/>
    <col min="5389" max="5390" width="11.7109375" style="292" customWidth="1"/>
    <col min="5391" max="5391" width="13.5703125" style="292" customWidth="1"/>
    <col min="5392" max="5392" width="13.28515625" style="292" customWidth="1"/>
    <col min="5393" max="5632" width="11.5703125" style="292"/>
    <col min="5633" max="5633" width="16.28515625" style="292" customWidth="1"/>
    <col min="5634" max="5636" width="10.5703125" style="292" customWidth="1"/>
    <col min="5637" max="5637" width="14.7109375" style="292" customWidth="1"/>
    <col min="5638" max="5638" width="12.140625" style="292" customWidth="1"/>
    <col min="5639" max="5639" width="13.85546875" style="292" customWidth="1"/>
    <col min="5640" max="5640" width="12.7109375" style="292" customWidth="1"/>
    <col min="5641" max="5641" width="12.42578125" style="292" bestFit="1" customWidth="1"/>
    <col min="5642" max="5642" width="11.7109375" style="292" customWidth="1"/>
    <col min="5643" max="5643" width="13.42578125" style="292" customWidth="1"/>
    <col min="5644" max="5644" width="12.42578125" style="292" bestFit="1" customWidth="1"/>
    <col min="5645" max="5646" width="11.7109375" style="292" customWidth="1"/>
    <col min="5647" max="5647" width="13.5703125" style="292" customWidth="1"/>
    <col min="5648" max="5648" width="13.28515625" style="292" customWidth="1"/>
    <col min="5649" max="5888" width="11.5703125" style="292"/>
    <col min="5889" max="5889" width="16.28515625" style="292" customWidth="1"/>
    <col min="5890" max="5892" width="10.5703125" style="292" customWidth="1"/>
    <col min="5893" max="5893" width="14.7109375" style="292" customWidth="1"/>
    <col min="5894" max="5894" width="12.140625" style="292" customWidth="1"/>
    <col min="5895" max="5895" width="13.85546875" style="292" customWidth="1"/>
    <col min="5896" max="5896" width="12.7109375" style="292" customWidth="1"/>
    <col min="5897" max="5897" width="12.42578125" style="292" bestFit="1" customWidth="1"/>
    <col min="5898" max="5898" width="11.7109375" style="292" customWidth="1"/>
    <col min="5899" max="5899" width="13.42578125" style="292" customWidth="1"/>
    <col min="5900" max="5900" width="12.42578125" style="292" bestFit="1" customWidth="1"/>
    <col min="5901" max="5902" width="11.7109375" style="292" customWidth="1"/>
    <col min="5903" max="5903" width="13.5703125" style="292" customWidth="1"/>
    <col min="5904" max="5904" width="13.28515625" style="292" customWidth="1"/>
    <col min="5905" max="6144" width="11.5703125" style="292"/>
    <col min="6145" max="6145" width="16.28515625" style="292" customWidth="1"/>
    <col min="6146" max="6148" width="10.5703125" style="292" customWidth="1"/>
    <col min="6149" max="6149" width="14.7109375" style="292" customWidth="1"/>
    <col min="6150" max="6150" width="12.140625" style="292" customWidth="1"/>
    <col min="6151" max="6151" width="13.85546875" style="292" customWidth="1"/>
    <col min="6152" max="6152" width="12.7109375" style="292" customWidth="1"/>
    <col min="6153" max="6153" width="12.42578125" style="292" bestFit="1" customWidth="1"/>
    <col min="6154" max="6154" width="11.7109375" style="292" customWidth="1"/>
    <col min="6155" max="6155" width="13.42578125" style="292" customWidth="1"/>
    <col min="6156" max="6156" width="12.42578125" style="292" bestFit="1" customWidth="1"/>
    <col min="6157" max="6158" width="11.7109375" style="292" customWidth="1"/>
    <col min="6159" max="6159" width="13.5703125" style="292" customWidth="1"/>
    <col min="6160" max="6160" width="13.28515625" style="292" customWidth="1"/>
    <col min="6161" max="6400" width="11.5703125" style="292"/>
    <col min="6401" max="6401" width="16.28515625" style="292" customWidth="1"/>
    <col min="6402" max="6404" width="10.5703125" style="292" customWidth="1"/>
    <col min="6405" max="6405" width="14.7109375" style="292" customWidth="1"/>
    <col min="6406" max="6406" width="12.140625" style="292" customWidth="1"/>
    <col min="6407" max="6407" width="13.85546875" style="292" customWidth="1"/>
    <col min="6408" max="6408" width="12.7109375" style="292" customWidth="1"/>
    <col min="6409" max="6409" width="12.42578125" style="292" bestFit="1" customWidth="1"/>
    <col min="6410" max="6410" width="11.7109375" style="292" customWidth="1"/>
    <col min="6411" max="6411" width="13.42578125" style="292" customWidth="1"/>
    <col min="6412" max="6412" width="12.42578125" style="292" bestFit="1" customWidth="1"/>
    <col min="6413" max="6414" width="11.7109375" style="292" customWidth="1"/>
    <col min="6415" max="6415" width="13.5703125" style="292" customWidth="1"/>
    <col min="6416" max="6416" width="13.28515625" style="292" customWidth="1"/>
    <col min="6417" max="6656" width="11.5703125" style="292"/>
    <col min="6657" max="6657" width="16.28515625" style="292" customWidth="1"/>
    <col min="6658" max="6660" width="10.5703125" style="292" customWidth="1"/>
    <col min="6661" max="6661" width="14.7109375" style="292" customWidth="1"/>
    <col min="6662" max="6662" width="12.140625" style="292" customWidth="1"/>
    <col min="6663" max="6663" width="13.85546875" style="292" customWidth="1"/>
    <col min="6664" max="6664" width="12.7109375" style="292" customWidth="1"/>
    <col min="6665" max="6665" width="12.42578125" style="292" bestFit="1" customWidth="1"/>
    <col min="6666" max="6666" width="11.7109375" style="292" customWidth="1"/>
    <col min="6667" max="6667" width="13.42578125" style="292" customWidth="1"/>
    <col min="6668" max="6668" width="12.42578125" style="292" bestFit="1" customWidth="1"/>
    <col min="6669" max="6670" width="11.7109375" style="292" customWidth="1"/>
    <col min="6671" max="6671" width="13.5703125" style="292" customWidth="1"/>
    <col min="6672" max="6672" width="13.28515625" style="292" customWidth="1"/>
    <col min="6673" max="6912" width="11.5703125" style="292"/>
    <col min="6913" max="6913" width="16.28515625" style="292" customWidth="1"/>
    <col min="6914" max="6916" width="10.5703125" style="292" customWidth="1"/>
    <col min="6917" max="6917" width="14.7109375" style="292" customWidth="1"/>
    <col min="6918" max="6918" width="12.140625" style="292" customWidth="1"/>
    <col min="6919" max="6919" width="13.85546875" style="292" customWidth="1"/>
    <col min="6920" max="6920" width="12.7109375" style="292" customWidth="1"/>
    <col min="6921" max="6921" width="12.42578125" style="292" bestFit="1" customWidth="1"/>
    <col min="6922" max="6922" width="11.7109375" style="292" customWidth="1"/>
    <col min="6923" max="6923" width="13.42578125" style="292" customWidth="1"/>
    <col min="6924" max="6924" width="12.42578125" style="292" bestFit="1" customWidth="1"/>
    <col min="6925" max="6926" width="11.7109375" style="292" customWidth="1"/>
    <col min="6927" max="6927" width="13.5703125" style="292" customWidth="1"/>
    <col min="6928" max="6928" width="13.28515625" style="292" customWidth="1"/>
    <col min="6929" max="7168" width="11.5703125" style="292"/>
    <col min="7169" max="7169" width="16.28515625" style="292" customWidth="1"/>
    <col min="7170" max="7172" width="10.5703125" style="292" customWidth="1"/>
    <col min="7173" max="7173" width="14.7109375" style="292" customWidth="1"/>
    <col min="7174" max="7174" width="12.140625" style="292" customWidth="1"/>
    <col min="7175" max="7175" width="13.85546875" style="292" customWidth="1"/>
    <col min="7176" max="7176" width="12.7109375" style="292" customWidth="1"/>
    <col min="7177" max="7177" width="12.42578125" style="292" bestFit="1" customWidth="1"/>
    <col min="7178" max="7178" width="11.7109375" style="292" customWidth="1"/>
    <col min="7179" max="7179" width="13.42578125" style="292" customWidth="1"/>
    <col min="7180" max="7180" width="12.42578125" style="292" bestFit="1" customWidth="1"/>
    <col min="7181" max="7182" width="11.7109375" style="292" customWidth="1"/>
    <col min="7183" max="7183" width="13.5703125" style="292" customWidth="1"/>
    <col min="7184" max="7184" width="13.28515625" style="292" customWidth="1"/>
    <col min="7185" max="7424" width="11.5703125" style="292"/>
    <col min="7425" max="7425" width="16.28515625" style="292" customWidth="1"/>
    <col min="7426" max="7428" width="10.5703125" style="292" customWidth="1"/>
    <col min="7429" max="7429" width="14.7109375" style="292" customWidth="1"/>
    <col min="7430" max="7430" width="12.140625" style="292" customWidth="1"/>
    <col min="7431" max="7431" width="13.85546875" style="292" customWidth="1"/>
    <col min="7432" max="7432" width="12.7109375" style="292" customWidth="1"/>
    <col min="7433" max="7433" width="12.42578125" style="292" bestFit="1" customWidth="1"/>
    <col min="7434" max="7434" width="11.7109375" style="292" customWidth="1"/>
    <col min="7435" max="7435" width="13.42578125" style="292" customWidth="1"/>
    <col min="7436" max="7436" width="12.42578125" style="292" bestFit="1" customWidth="1"/>
    <col min="7437" max="7438" width="11.7109375" style="292" customWidth="1"/>
    <col min="7439" max="7439" width="13.5703125" style="292" customWidth="1"/>
    <col min="7440" max="7440" width="13.28515625" style="292" customWidth="1"/>
    <col min="7441" max="7680" width="11.5703125" style="292"/>
    <col min="7681" max="7681" width="16.28515625" style="292" customWidth="1"/>
    <col min="7682" max="7684" width="10.5703125" style="292" customWidth="1"/>
    <col min="7685" max="7685" width="14.7109375" style="292" customWidth="1"/>
    <col min="7686" max="7686" width="12.140625" style="292" customWidth="1"/>
    <col min="7687" max="7687" width="13.85546875" style="292" customWidth="1"/>
    <col min="7688" max="7688" width="12.7109375" style="292" customWidth="1"/>
    <col min="7689" max="7689" width="12.42578125" style="292" bestFit="1" customWidth="1"/>
    <col min="7690" max="7690" width="11.7109375" style="292" customWidth="1"/>
    <col min="7691" max="7691" width="13.42578125" style="292" customWidth="1"/>
    <col min="7692" max="7692" width="12.42578125" style="292" bestFit="1" customWidth="1"/>
    <col min="7693" max="7694" width="11.7109375" style="292" customWidth="1"/>
    <col min="7695" max="7695" width="13.5703125" style="292" customWidth="1"/>
    <col min="7696" max="7696" width="13.28515625" style="292" customWidth="1"/>
    <col min="7697" max="7936" width="11.5703125" style="292"/>
    <col min="7937" max="7937" width="16.28515625" style="292" customWidth="1"/>
    <col min="7938" max="7940" width="10.5703125" style="292" customWidth="1"/>
    <col min="7941" max="7941" width="14.7109375" style="292" customWidth="1"/>
    <col min="7942" max="7942" width="12.140625" style="292" customWidth="1"/>
    <col min="7943" max="7943" width="13.85546875" style="292" customWidth="1"/>
    <col min="7944" max="7944" width="12.7109375" style="292" customWidth="1"/>
    <col min="7945" max="7945" width="12.42578125" style="292" bestFit="1" customWidth="1"/>
    <col min="7946" max="7946" width="11.7109375" style="292" customWidth="1"/>
    <col min="7947" max="7947" width="13.42578125" style="292" customWidth="1"/>
    <col min="7948" max="7948" width="12.42578125" style="292" bestFit="1" customWidth="1"/>
    <col min="7949" max="7950" width="11.7109375" style="292" customWidth="1"/>
    <col min="7951" max="7951" width="13.5703125" style="292" customWidth="1"/>
    <col min="7952" max="7952" width="13.28515625" style="292" customWidth="1"/>
    <col min="7953" max="8192" width="11.5703125" style="292"/>
    <col min="8193" max="8193" width="16.28515625" style="292" customWidth="1"/>
    <col min="8194" max="8196" width="10.5703125" style="292" customWidth="1"/>
    <col min="8197" max="8197" width="14.7109375" style="292" customWidth="1"/>
    <col min="8198" max="8198" width="12.140625" style="292" customWidth="1"/>
    <col min="8199" max="8199" width="13.85546875" style="292" customWidth="1"/>
    <col min="8200" max="8200" width="12.7109375" style="292" customWidth="1"/>
    <col min="8201" max="8201" width="12.42578125" style="292" bestFit="1" customWidth="1"/>
    <col min="8202" max="8202" width="11.7109375" style="292" customWidth="1"/>
    <col min="8203" max="8203" width="13.42578125" style="292" customWidth="1"/>
    <col min="8204" max="8204" width="12.42578125" style="292" bestFit="1" customWidth="1"/>
    <col min="8205" max="8206" width="11.7109375" style="292" customWidth="1"/>
    <col min="8207" max="8207" width="13.5703125" style="292" customWidth="1"/>
    <col min="8208" max="8208" width="13.28515625" style="292" customWidth="1"/>
    <col min="8209" max="8448" width="11.5703125" style="292"/>
    <col min="8449" max="8449" width="16.28515625" style="292" customWidth="1"/>
    <col min="8450" max="8452" width="10.5703125" style="292" customWidth="1"/>
    <col min="8453" max="8453" width="14.7109375" style="292" customWidth="1"/>
    <col min="8454" max="8454" width="12.140625" style="292" customWidth="1"/>
    <col min="8455" max="8455" width="13.85546875" style="292" customWidth="1"/>
    <col min="8456" max="8456" width="12.7109375" style="292" customWidth="1"/>
    <col min="8457" max="8457" width="12.42578125" style="292" bestFit="1" customWidth="1"/>
    <col min="8458" max="8458" width="11.7109375" style="292" customWidth="1"/>
    <col min="8459" max="8459" width="13.42578125" style="292" customWidth="1"/>
    <col min="8460" max="8460" width="12.42578125" style="292" bestFit="1" customWidth="1"/>
    <col min="8461" max="8462" width="11.7109375" style="292" customWidth="1"/>
    <col min="8463" max="8463" width="13.5703125" style="292" customWidth="1"/>
    <col min="8464" max="8464" width="13.28515625" style="292" customWidth="1"/>
    <col min="8465" max="8704" width="11.5703125" style="292"/>
    <col min="8705" max="8705" width="16.28515625" style="292" customWidth="1"/>
    <col min="8706" max="8708" width="10.5703125" style="292" customWidth="1"/>
    <col min="8709" max="8709" width="14.7109375" style="292" customWidth="1"/>
    <col min="8710" max="8710" width="12.140625" style="292" customWidth="1"/>
    <col min="8711" max="8711" width="13.85546875" style="292" customWidth="1"/>
    <col min="8712" max="8712" width="12.7109375" style="292" customWidth="1"/>
    <col min="8713" max="8713" width="12.42578125" style="292" bestFit="1" customWidth="1"/>
    <col min="8714" max="8714" width="11.7109375" style="292" customWidth="1"/>
    <col min="8715" max="8715" width="13.42578125" style="292" customWidth="1"/>
    <col min="8716" max="8716" width="12.42578125" style="292" bestFit="1" customWidth="1"/>
    <col min="8717" max="8718" width="11.7109375" style="292" customWidth="1"/>
    <col min="8719" max="8719" width="13.5703125" style="292" customWidth="1"/>
    <col min="8720" max="8720" width="13.28515625" style="292" customWidth="1"/>
    <col min="8721" max="8960" width="11.5703125" style="292"/>
    <col min="8961" max="8961" width="16.28515625" style="292" customWidth="1"/>
    <col min="8962" max="8964" width="10.5703125" style="292" customWidth="1"/>
    <col min="8965" max="8965" width="14.7109375" style="292" customWidth="1"/>
    <col min="8966" max="8966" width="12.140625" style="292" customWidth="1"/>
    <col min="8967" max="8967" width="13.85546875" style="292" customWidth="1"/>
    <col min="8968" max="8968" width="12.7109375" style="292" customWidth="1"/>
    <col min="8969" max="8969" width="12.42578125" style="292" bestFit="1" customWidth="1"/>
    <col min="8970" max="8970" width="11.7109375" style="292" customWidth="1"/>
    <col min="8971" max="8971" width="13.42578125" style="292" customWidth="1"/>
    <col min="8972" max="8972" width="12.42578125" style="292" bestFit="1" customWidth="1"/>
    <col min="8973" max="8974" width="11.7109375" style="292" customWidth="1"/>
    <col min="8975" max="8975" width="13.5703125" style="292" customWidth="1"/>
    <col min="8976" max="8976" width="13.28515625" style="292" customWidth="1"/>
    <col min="8977" max="9216" width="11.5703125" style="292"/>
    <col min="9217" max="9217" width="16.28515625" style="292" customWidth="1"/>
    <col min="9218" max="9220" width="10.5703125" style="292" customWidth="1"/>
    <col min="9221" max="9221" width="14.7109375" style="292" customWidth="1"/>
    <col min="9222" max="9222" width="12.140625" style="292" customWidth="1"/>
    <col min="9223" max="9223" width="13.85546875" style="292" customWidth="1"/>
    <col min="9224" max="9224" width="12.7109375" style="292" customWidth="1"/>
    <col min="9225" max="9225" width="12.42578125" style="292" bestFit="1" customWidth="1"/>
    <col min="9226" max="9226" width="11.7109375" style="292" customWidth="1"/>
    <col min="9227" max="9227" width="13.42578125" style="292" customWidth="1"/>
    <col min="9228" max="9228" width="12.42578125" style="292" bestFit="1" customWidth="1"/>
    <col min="9229" max="9230" width="11.7109375" style="292" customWidth="1"/>
    <col min="9231" max="9231" width="13.5703125" style="292" customWidth="1"/>
    <col min="9232" max="9232" width="13.28515625" style="292" customWidth="1"/>
    <col min="9233" max="9472" width="11.5703125" style="292"/>
    <col min="9473" max="9473" width="16.28515625" style="292" customWidth="1"/>
    <col min="9474" max="9476" width="10.5703125" style="292" customWidth="1"/>
    <col min="9477" max="9477" width="14.7109375" style="292" customWidth="1"/>
    <col min="9478" max="9478" width="12.140625" style="292" customWidth="1"/>
    <col min="9479" max="9479" width="13.85546875" style="292" customWidth="1"/>
    <col min="9480" max="9480" width="12.7109375" style="292" customWidth="1"/>
    <col min="9481" max="9481" width="12.42578125" style="292" bestFit="1" customWidth="1"/>
    <col min="9482" max="9482" width="11.7109375" style="292" customWidth="1"/>
    <col min="9483" max="9483" width="13.42578125" style="292" customWidth="1"/>
    <col min="9484" max="9484" width="12.42578125" style="292" bestFit="1" customWidth="1"/>
    <col min="9485" max="9486" width="11.7109375" style="292" customWidth="1"/>
    <col min="9487" max="9487" width="13.5703125" style="292" customWidth="1"/>
    <col min="9488" max="9488" width="13.28515625" style="292" customWidth="1"/>
    <col min="9489" max="9728" width="11.5703125" style="292"/>
    <col min="9729" max="9729" width="16.28515625" style="292" customWidth="1"/>
    <col min="9730" max="9732" width="10.5703125" style="292" customWidth="1"/>
    <col min="9733" max="9733" width="14.7109375" style="292" customWidth="1"/>
    <col min="9734" max="9734" width="12.140625" style="292" customWidth="1"/>
    <col min="9735" max="9735" width="13.85546875" style="292" customWidth="1"/>
    <col min="9736" max="9736" width="12.7109375" style="292" customWidth="1"/>
    <col min="9737" max="9737" width="12.42578125" style="292" bestFit="1" customWidth="1"/>
    <col min="9738" max="9738" width="11.7109375" style="292" customWidth="1"/>
    <col min="9739" max="9739" width="13.42578125" style="292" customWidth="1"/>
    <col min="9740" max="9740" width="12.42578125" style="292" bestFit="1" customWidth="1"/>
    <col min="9741" max="9742" width="11.7109375" style="292" customWidth="1"/>
    <col min="9743" max="9743" width="13.5703125" style="292" customWidth="1"/>
    <col min="9744" max="9744" width="13.28515625" style="292" customWidth="1"/>
    <col min="9745" max="9984" width="11.5703125" style="292"/>
    <col min="9985" max="9985" width="16.28515625" style="292" customWidth="1"/>
    <col min="9986" max="9988" width="10.5703125" style="292" customWidth="1"/>
    <col min="9989" max="9989" width="14.7109375" style="292" customWidth="1"/>
    <col min="9990" max="9990" width="12.140625" style="292" customWidth="1"/>
    <col min="9991" max="9991" width="13.85546875" style="292" customWidth="1"/>
    <col min="9992" max="9992" width="12.7109375" style="292" customWidth="1"/>
    <col min="9993" max="9993" width="12.42578125" style="292" bestFit="1" customWidth="1"/>
    <col min="9994" max="9994" width="11.7109375" style="292" customWidth="1"/>
    <col min="9995" max="9995" width="13.42578125" style="292" customWidth="1"/>
    <col min="9996" max="9996" width="12.42578125" style="292" bestFit="1" customWidth="1"/>
    <col min="9997" max="9998" width="11.7109375" style="292" customWidth="1"/>
    <col min="9999" max="9999" width="13.5703125" style="292" customWidth="1"/>
    <col min="10000" max="10000" width="13.28515625" style="292" customWidth="1"/>
    <col min="10001" max="10240" width="11.5703125" style="292"/>
    <col min="10241" max="10241" width="16.28515625" style="292" customWidth="1"/>
    <col min="10242" max="10244" width="10.5703125" style="292" customWidth="1"/>
    <col min="10245" max="10245" width="14.7109375" style="292" customWidth="1"/>
    <col min="10246" max="10246" width="12.140625" style="292" customWidth="1"/>
    <col min="10247" max="10247" width="13.85546875" style="292" customWidth="1"/>
    <col min="10248" max="10248" width="12.7109375" style="292" customWidth="1"/>
    <col min="10249" max="10249" width="12.42578125" style="292" bestFit="1" customWidth="1"/>
    <col min="10250" max="10250" width="11.7109375" style="292" customWidth="1"/>
    <col min="10251" max="10251" width="13.42578125" style="292" customWidth="1"/>
    <col min="10252" max="10252" width="12.42578125" style="292" bestFit="1" customWidth="1"/>
    <col min="10253" max="10254" width="11.7109375" style="292" customWidth="1"/>
    <col min="10255" max="10255" width="13.5703125" style="292" customWidth="1"/>
    <col min="10256" max="10256" width="13.28515625" style="292" customWidth="1"/>
    <col min="10257" max="10496" width="11.5703125" style="292"/>
    <col min="10497" max="10497" width="16.28515625" style="292" customWidth="1"/>
    <col min="10498" max="10500" width="10.5703125" style="292" customWidth="1"/>
    <col min="10501" max="10501" width="14.7109375" style="292" customWidth="1"/>
    <col min="10502" max="10502" width="12.140625" style="292" customWidth="1"/>
    <col min="10503" max="10503" width="13.85546875" style="292" customWidth="1"/>
    <col min="10504" max="10504" width="12.7109375" style="292" customWidth="1"/>
    <col min="10505" max="10505" width="12.42578125" style="292" bestFit="1" customWidth="1"/>
    <col min="10506" max="10506" width="11.7109375" style="292" customWidth="1"/>
    <col min="10507" max="10507" width="13.42578125" style="292" customWidth="1"/>
    <col min="10508" max="10508" width="12.42578125" style="292" bestFit="1" customWidth="1"/>
    <col min="10509" max="10510" width="11.7109375" style="292" customWidth="1"/>
    <col min="10511" max="10511" width="13.5703125" style="292" customWidth="1"/>
    <col min="10512" max="10512" width="13.28515625" style="292" customWidth="1"/>
    <col min="10513" max="10752" width="11.5703125" style="292"/>
    <col min="10753" max="10753" width="16.28515625" style="292" customWidth="1"/>
    <col min="10754" max="10756" width="10.5703125" style="292" customWidth="1"/>
    <col min="10757" max="10757" width="14.7109375" style="292" customWidth="1"/>
    <col min="10758" max="10758" width="12.140625" style="292" customWidth="1"/>
    <col min="10759" max="10759" width="13.85546875" style="292" customWidth="1"/>
    <col min="10760" max="10760" width="12.7109375" style="292" customWidth="1"/>
    <col min="10761" max="10761" width="12.42578125" style="292" bestFit="1" customWidth="1"/>
    <col min="10762" max="10762" width="11.7109375" style="292" customWidth="1"/>
    <col min="10763" max="10763" width="13.42578125" style="292" customWidth="1"/>
    <col min="10764" max="10764" width="12.42578125" style="292" bestFit="1" customWidth="1"/>
    <col min="10765" max="10766" width="11.7109375" style="292" customWidth="1"/>
    <col min="10767" max="10767" width="13.5703125" style="292" customWidth="1"/>
    <col min="10768" max="10768" width="13.28515625" style="292" customWidth="1"/>
    <col min="10769" max="11008" width="11.5703125" style="292"/>
    <col min="11009" max="11009" width="16.28515625" style="292" customWidth="1"/>
    <col min="11010" max="11012" width="10.5703125" style="292" customWidth="1"/>
    <col min="11013" max="11013" width="14.7109375" style="292" customWidth="1"/>
    <col min="11014" max="11014" width="12.140625" style="292" customWidth="1"/>
    <col min="11015" max="11015" width="13.85546875" style="292" customWidth="1"/>
    <col min="11016" max="11016" width="12.7109375" style="292" customWidth="1"/>
    <col min="11017" max="11017" width="12.42578125" style="292" bestFit="1" customWidth="1"/>
    <col min="11018" max="11018" width="11.7109375" style="292" customWidth="1"/>
    <col min="11019" max="11019" width="13.42578125" style="292" customWidth="1"/>
    <col min="11020" max="11020" width="12.42578125" style="292" bestFit="1" customWidth="1"/>
    <col min="11021" max="11022" width="11.7109375" style="292" customWidth="1"/>
    <col min="11023" max="11023" width="13.5703125" style="292" customWidth="1"/>
    <col min="11024" max="11024" width="13.28515625" style="292" customWidth="1"/>
    <col min="11025" max="11264" width="11.5703125" style="292"/>
    <col min="11265" max="11265" width="16.28515625" style="292" customWidth="1"/>
    <col min="11266" max="11268" width="10.5703125" style="292" customWidth="1"/>
    <col min="11269" max="11269" width="14.7109375" style="292" customWidth="1"/>
    <col min="11270" max="11270" width="12.140625" style="292" customWidth="1"/>
    <col min="11271" max="11271" width="13.85546875" style="292" customWidth="1"/>
    <col min="11272" max="11272" width="12.7109375" style="292" customWidth="1"/>
    <col min="11273" max="11273" width="12.42578125" style="292" bestFit="1" customWidth="1"/>
    <col min="11274" max="11274" width="11.7109375" style="292" customWidth="1"/>
    <col min="11275" max="11275" width="13.42578125" style="292" customWidth="1"/>
    <col min="11276" max="11276" width="12.42578125" style="292" bestFit="1" customWidth="1"/>
    <col min="11277" max="11278" width="11.7109375" style="292" customWidth="1"/>
    <col min="11279" max="11279" width="13.5703125" style="292" customWidth="1"/>
    <col min="11280" max="11280" width="13.28515625" style="292" customWidth="1"/>
    <col min="11281" max="11520" width="11.5703125" style="292"/>
    <col min="11521" max="11521" width="16.28515625" style="292" customWidth="1"/>
    <col min="11522" max="11524" width="10.5703125" style="292" customWidth="1"/>
    <col min="11525" max="11525" width="14.7109375" style="292" customWidth="1"/>
    <col min="11526" max="11526" width="12.140625" style="292" customWidth="1"/>
    <col min="11527" max="11527" width="13.85546875" style="292" customWidth="1"/>
    <col min="11528" max="11528" width="12.7109375" style="292" customWidth="1"/>
    <col min="11529" max="11529" width="12.42578125" style="292" bestFit="1" customWidth="1"/>
    <col min="11530" max="11530" width="11.7109375" style="292" customWidth="1"/>
    <col min="11531" max="11531" width="13.42578125" style="292" customWidth="1"/>
    <col min="11532" max="11532" width="12.42578125" style="292" bestFit="1" customWidth="1"/>
    <col min="11533" max="11534" width="11.7109375" style="292" customWidth="1"/>
    <col min="11535" max="11535" width="13.5703125" style="292" customWidth="1"/>
    <col min="11536" max="11536" width="13.28515625" style="292" customWidth="1"/>
    <col min="11537" max="11776" width="11.5703125" style="292"/>
    <col min="11777" max="11777" width="16.28515625" style="292" customWidth="1"/>
    <col min="11778" max="11780" width="10.5703125" style="292" customWidth="1"/>
    <col min="11781" max="11781" width="14.7109375" style="292" customWidth="1"/>
    <col min="11782" max="11782" width="12.140625" style="292" customWidth="1"/>
    <col min="11783" max="11783" width="13.85546875" style="292" customWidth="1"/>
    <col min="11784" max="11784" width="12.7109375" style="292" customWidth="1"/>
    <col min="11785" max="11785" width="12.42578125" style="292" bestFit="1" customWidth="1"/>
    <col min="11786" max="11786" width="11.7109375" style="292" customWidth="1"/>
    <col min="11787" max="11787" width="13.42578125" style="292" customWidth="1"/>
    <col min="11788" max="11788" width="12.42578125" style="292" bestFit="1" customWidth="1"/>
    <col min="11789" max="11790" width="11.7109375" style="292" customWidth="1"/>
    <col min="11791" max="11791" width="13.5703125" style="292" customWidth="1"/>
    <col min="11792" max="11792" width="13.28515625" style="292" customWidth="1"/>
    <col min="11793" max="12032" width="11.5703125" style="292"/>
    <col min="12033" max="12033" width="16.28515625" style="292" customWidth="1"/>
    <col min="12034" max="12036" width="10.5703125" style="292" customWidth="1"/>
    <col min="12037" max="12037" width="14.7109375" style="292" customWidth="1"/>
    <col min="12038" max="12038" width="12.140625" style="292" customWidth="1"/>
    <col min="12039" max="12039" width="13.85546875" style="292" customWidth="1"/>
    <col min="12040" max="12040" width="12.7109375" style="292" customWidth="1"/>
    <col min="12041" max="12041" width="12.42578125" style="292" bestFit="1" customWidth="1"/>
    <col min="12042" max="12042" width="11.7109375" style="292" customWidth="1"/>
    <col min="12043" max="12043" width="13.42578125" style="292" customWidth="1"/>
    <col min="12044" max="12044" width="12.42578125" style="292" bestFit="1" customWidth="1"/>
    <col min="12045" max="12046" width="11.7109375" style="292" customWidth="1"/>
    <col min="12047" max="12047" width="13.5703125" style="292" customWidth="1"/>
    <col min="12048" max="12048" width="13.28515625" style="292" customWidth="1"/>
    <col min="12049" max="12288" width="11.5703125" style="292"/>
    <col min="12289" max="12289" width="16.28515625" style="292" customWidth="1"/>
    <col min="12290" max="12292" width="10.5703125" style="292" customWidth="1"/>
    <col min="12293" max="12293" width="14.7109375" style="292" customWidth="1"/>
    <col min="12294" max="12294" width="12.140625" style="292" customWidth="1"/>
    <col min="12295" max="12295" width="13.85546875" style="292" customWidth="1"/>
    <col min="12296" max="12296" width="12.7109375" style="292" customWidth="1"/>
    <col min="12297" max="12297" width="12.42578125" style="292" bestFit="1" customWidth="1"/>
    <col min="12298" max="12298" width="11.7109375" style="292" customWidth="1"/>
    <col min="12299" max="12299" width="13.42578125" style="292" customWidth="1"/>
    <col min="12300" max="12300" width="12.42578125" style="292" bestFit="1" customWidth="1"/>
    <col min="12301" max="12302" width="11.7109375" style="292" customWidth="1"/>
    <col min="12303" max="12303" width="13.5703125" style="292" customWidth="1"/>
    <col min="12304" max="12304" width="13.28515625" style="292" customWidth="1"/>
    <col min="12305" max="12544" width="11.5703125" style="292"/>
    <col min="12545" max="12545" width="16.28515625" style="292" customWidth="1"/>
    <col min="12546" max="12548" width="10.5703125" style="292" customWidth="1"/>
    <col min="12549" max="12549" width="14.7109375" style="292" customWidth="1"/>
    <col min="12550" max="12550" width="12.140625" style="292" customWidth="1"/>
    <col min="12551" max="12551" width="13.85546875" style="292" customWidth="1"/>
    <col min="12552" max="12552" width="12.7109375" style="292" customWidth="1"/>
    <col min="12553" max="12553" width="12.42578125" style="292" bestFit="1" customWidth="1"/>
    <col min="12554" max="12554" width="11.7109375" style="292" customWidth="1"/>
    <col min="12555" max="12555" width="13.42578125" style="292" customWidth="1"/>
    <col min="12556" max="12556" width="12.42578125" style="292" bestFit="1" customWidth="1"/>
    <col min="12557" max="12558" width="11.7109375" style="292" customWidth="1"/>
    <col min="12559" max="12559" width="13.5703125" style="292" customWidth="1"/>
    <col min="12560" max="12560" width="13.28515625" style="292" customWidth="1"/>
    <col min="12561" max="12800" width="11.5703125" style="292"/>
    <col min="12801" max="12801" width="16.28515625" style="292" customWidth="1"/>
    <col min="12802" max="12804" width="10.5703125" style="292" customWidth="1"/>
    <col min="12805" max="12805" width="14.7109375" style="292" customWidth="1"/>
    <col min="12806" max="12806" width="12.140625" style="292" customWidth="1"/>
    <col min="12807" max="12807" width="13.85546875" style="292" customWidth="1"/>
    <col min="12808" max="12808" width="12.7109375" style="292" customWidth="1"/>
    <col min="12809" max="12809" width="12.42578125" style="292" bestFit="1" customWidth="1"/>
    <col min="12810" max="12810" width="11.7109375" style="292" customWidth="1"/>
    <col min="12811" max="12811" width="13.42578125" style="292" customWidth="1"/>
    <col min="12812" max="12812" width="12.42578125" style="292" bestFit="1" customWidth="1"/>
    <col min="12813" max="12814" width="11.7109375" style="292" customWidth="1"/>
    <col min="12815" max="12815" width="13.5703125" style="292" customWidth="1"/>
    <col min="12816" max="12816" width="13.28515625" style="292" customWidth="1"/>
    <col min="12817" max="13056" width="11.5703125" style="292"/>
    <col min="13057" max="13057" width="16.28515625" style="292" customWidth="1"/>
    <col min="13058" max="13060" width="10.5703125" style="292" customWidth="1"/>
    <col min="13061" max="13061" width="14.7109375" style="292" customWidth="1"/>
    <col min="13062" max="13062" width="12.140625" style="292" customWidth="1"/>
    <col min="13063" max="13063" width="13.85546875" style="292" customWidth="1"/>
    <col min="13064" max="13064" width="12.7109375" style="292" customWidth="1"/>
    <col min="13065" max="13065" width="12.42578125" style="292" bestFit="1" customWidth="1"/>
    <col min="13066" max="13066" width="11.7109375" style="292" customWidth="1"/>
    <col min="13067" max="13067" width="13.42578125" style="292" customWidth="1"/>
    <col min="13068" max="13068" width="12.42578125" style="292" bestFit="1" customWidth="1"/>
    <col min="13069" max="13070" width="11.7109375" style="292" customWidth="1"/>
    <col min="13071" max="13071" width="13.5703125" style="292" customWidth="1"/>
    <col min="13072" max="13072" width="13.28515625" style="292" customWidth="1"/>
    <col min="13073" max="13312" width="11.5703125" style="292"/>
    <col min="13313" max="13313" width="16.28515625" style="292" customWidth="1"/>
    <col min="13314" max="13316" width="10.5703125" style="292" customWidth="1"/>
    <col min="13317" max="13317" width="14.7109375" style="292" customWidth="1"/>
    <col min="13318" max="13318" width="12.140625" style="292" customWidth="1"/>
    <col min="13319" max="13319" width="13.85546875" style="292" customWidth="1"/>
    <col min="13320" max="13320" width="12.7109375" style="292" customWidth="1"/>
    <col min="13321" max="13321" width="12.42578125" style="292" bestFit="1" customWidth="1"/>
    <col min="13322" max="13322" width="11.7109375" style="292" customWidth="1"/>
    <col min="13323" max="13323" width="13.42578125" style="292" customWidth="1"/>
    <col min="13324" max="13324" width="12.42578125" style="292" bestFit="1" customWidth="1"/>
    <col min="13325" max="13326" width="11.7109375" style="292" customWidth="1"/>
    <col min="13327" max="13327" width="13.5703125" style="292" customWidth="1"/>
    <col min="13328" max="13328" width="13.28515625" style="292" customWidth="1"/>
    <col min="13329" max="13568" width="11.5703125" style="292"/>
    <col min="13569" max="13569" width="16.28515625" style="292" customWidth="1"/>
    <col min="13570" max="13572" width="10.5703125" style="292" customWidth="1"/>
    <col min="13573" max="13573" width="14.7109375" style="292" customWidth="1"/>
    <col min="13574" max="13574" width="12.140625" style="292" customWidth="1"/>
    <col min="13575" max="13575" width="13.85546875" style="292" customWidth="1"/>
    <col min="13576" max="13576" width="12.7109375" style="292" customWidth="1"/>
    <col min="13577" max="13577" width="12.42578125" style="292" bestFit="1" customWidth="1"/>
    <col min="13578" max="13578" width="11.7109375" style="292" customWidth="1"/>
    <col min="13579" max="13579" width="13.42578125" style="292" customWidth="1"/>
    <col min="13580" max="13580" width="12.42578125" style="292" bestFit="1" customWidth="1"/>
    <col min="13581" max="13582" width="11.7109375" style="292" customWidth="1"/>
    <col min="13583" max="13583" width="13.5703125" style="292" customWidth="1"/>
    <col min="13584" max="13584" width="13.28515625" style="292" customWidth="1"/>
    <col min="13585" max="13824" width="11.5703125" style="292"/>
    <col min="13825" max="13825" width="16.28515625" style="292" customWidth="1"/>
    <col min="13826" max="13828" width="10.5703125" style="292" customWidth="1"/>
    <col min="13829" max="13829" width="14.7109375" style="292" customWidth="1"/>
    <col min="13830" max="13830" width="12.140625" style="292" customWidth="1"/>
    <col min="13831" max="13831" width="13.85546875" style="292" customWidth="1"/>
    <col min="13832" max="13832" width="12.7109375" style="292" customWidth="1"/>
    <col min="13833" max="13833" width="12.42578125" style="292" bestFit="1" customWidth="1"/>
    <col min="13834" max="13834" width="11.7109375" style="292" customWidth="1"/>
    <col min="13835" max="13835" width="13.42578125" style="292" customWidth="1"/>
    <col min="13836" max="13836" width="12.42578125" style="292" bestFit="1" customWidth="1"/>
    <col min="13837" max="13838" width="11.7109375" style="292" customWidth="1"/>
    <col min="13839" max="13839" width="13.5703125" style="292" customWidth="1"/>
    <col min="13840" max="13840" width="13.28515625" style="292" customWidth="1"/>
    <col min="13841" max="14080" width="11.5703125" style="292"/>
    <col min="14081" max="14081" width="16.28515625" style="292" customWidth="1"/>
    <col min="14082" max="14084" width="10.5703125" style="292" customWidth="1"/>
    <col min="14085" max="14085" width="14.7109375" style="292" customWidth="1"/>
    <col min="14086" max="14086" width="12.140625" style="292" customWidth="1"/>
    <col min="14087" max="14087" width="13.85546875" style="292" customWidth="1"/>
    <col min="14088" max="14088" width="12.7109375" style="292" customWidth="1"/>
    <col min="14089" max="14089" width="12.42578125" style="292" bestFit="1" customWidth="1"/>
    <col min="14090" max="14090" width="11.7109375" style="292" customWidth="1"/>
    <col min="14091" max="14091" width="13.42578125" style="292" customWidth="1"/>
    <col min="14092" max="14092" width="12.42578125" style="292" bestFit="1" customWidth="1"/>
    <col min="14093" max="14094" width="11.7109375" style="292" customWidth="1"/>
    <col min="14095" max="14095" width="13.5703125" style="292" customWidth="1"/>
    <col min="14096" max="14096" width="13.28515625" style="292" customWidth="1"/>
    <col min="14097" max="14336" width="11.5703125" style="292"/>
    <col min="14337" max="14337" width="16.28515625" style="292" customWidth="1"/>
    <col min="14338" max="14340" width="10.5703125" style="292" customWidth="1"/>
    <col min="14341" max="14341" width="14.7109375" style="292" customWidth="1"/>
    <col min="14342" max="14342" width="12.140625" style="292" customWidth="1"/>
    <col min="14343" max="14343" width="13.85546875" style="292" customWidth="1"/>
    <col min="14344" max="14344" width="12.7109375" style="292" customWidth="1"/>
    <col min="14345" max="14345" width="12.42578125" style="292" bestFit="1" customWidth="1"/>
    <col min="14346" max="14346" width="11.7109375" style="292" customWidth="1"/>
    <col min="14347" max="14347" width="13.42578125" style="292" customWidth="1"/>
    <col min="14348" max="14348" width="12.42578125" style="292" bestFit="1" customWidth="1"/>
    <col min="14349" max="14350" width="11.7109375" style="292" customWidth="1"/>
    <col min="14351" max="14351" width="13.5703125" style="292" customWidth="1"/>
    <col min="14352" max="14352" width="13.28515625" style="292" customWidth="1"/>
    <col min="14353" max="14592" width="11.5703125" style="292"/>
    <col min="14593" max="14593" width="16.28515625" style="292" customWidth="1"/>
    <col min="14594" max="14596" width="10.5703125" style="292" customWidth="1"/>
    <col min="14597" max="14597" width="14.7109375" style="292" customWidth="1"/>
    <col min="14598" max="14598" width="12.140625" style="292" customWidth="1"/>
    <col min="14599" max="14599" width="13.85546875" style="292" customWidth="1"/>
    <col min="14600" max="14600" width="12.7109375" style="292" customWidth="1"/>
    <col min="14601" max="14601" width="12.42578125" style="292" bestFit="1" customWidth="1"/>
    <col min="14602" max="14602" width="11.7109375" style="292" customWidth="1"/>
    <col min="14603" max="14603" width="13.42578125" style="292" customWidth="1"/>
    <col min="14604" max="14604" width="12.42578125" style="292" bestFit="1" customWidth="1"/>
    <col min="14605" max="14606" width="11.7109375" style="292" customWidth="1"/>
    <col min="14607" max="14607" width="13.5703125" style="292" customWidth="1"/>
    <col min="14608" max="14608" width="13.28515625" style="292" customWidth="1"/>
    <col min="14609" max="14848" width="11.5703125" style="292"/>
    <col min="14849" max="14849" width="16.28515625" style="292" customWidth="1"/>
    <col min="14850" max="14852" width="10.5703125" style="292" customWidth="1"/>
    <col min="14853" max="14853" width="14.7109375" style="292" customWidth="1"/>
    <col min="14854" max="14854" width="12.140625" style="292" customWidth="1"/>
    <col min="14855" max="14855" width="13.85546875" style="292" customWidth="1"/>
    <col min="14856" max="14856" width="12.7109375" style="292" customWidth="1"/>
    <col min="14857" max="14857" width="12.42578125" style="292" bestFit="1" customWidth="1"/>
    <col min="14858" max="14858" width="11.7109375" style="292" customWidth="1"/>
    <col min="14859" max="14859" width="13.42578125" style="292" customWidth="1"/>
    <col min="14860" max="14860" width="12.42578125" style="292" bestFit="1" customWidth="1"/>
    <col min="14861" max="14862" width="11.7109375" style="292" customWidth="1"/>
    <col min="14863" max="14863" width="13.5703125" style="292" customWidth="1"/>
    <col min="14864" max="14864" width="13.28515625" style="292" customWidth="1"/>
    <col min="14865" max="15104" width="11.5703125" style="292"/>
    <col min="15105" max="15105" width="16.28515625" style="292" customWidth="1"/>
    <col min="15106" max="15108" width="10.5703125" style="292" customWidth="1"/>
    <col min="15109" max="15109" width="14.7109375" style="292" customWidth="1"/>
    <col min="15110" max="15110" width="12.140625" style="292" customWidth="1"/>
    <col min="15111" max="15111" width="13.85546875" style="292" customWidth="1"/>
    <col min="15112" max="15112" width="12.7109375" style="292" customWidth="1"/>
    <col min="15113" max="15113" width="12.42578125" style="292" bestFit="1" customWidth="1"/>
    <col min="15114" max="15114" width="11.7109375" style="292" customWidth="1"/>
    <col min="15115" max="15115" width="13.42578125" style="292" customWidth="1"/>
    <col min="15116" max="15116" width="12.42578125" style="292" bestFit="1" customWidth="1"/>
    <col min="15117" max="15118" width="11.7109375" style="292" customWidth="1"/>
    <col min="15119" max="15119" width="13.5703125" style="292" customWidth="1"/>
    <col min="15120" max="15120" width="13.28515625" style="292" customWidth="1"/>
    <col min="15121" max="15360" width="11.5703125" style="292"/>
    <col min="15361" max="15361" width="16.28515625" style="292" customWidth="1"/>
    <col min="15362" max="15364" width="10.5703125" style="292" customWidth="1"/>
    <col min="15365" max="15365" width="14.7109375" style="292" customWidth="1"/>
    <col min="15366" max="15366" width="12.140625" style="292" customWidth="1"/>
    <col min="15367" max="15367" width="13.85546875" style="292" customWidth="1"/>
    <col min="15368" max="15368" width="12.7109375" style="292" customWidth="1"/>
    <col min="15369" max="15369" width="12.42578125" style="292" bestFit="1" customWidth="1"/>
    <col min="15370" max="15370" width="11.7109375" style="292" customWidth="1"/>
    <col min="15371" max="15371" width="13.42578125" style="292" customWidth="1"/>
    <col min="15372" max="15372" width="12.42578125" style="292" bestFit="1" customWidth="1"/>
    <col min="15373" max="15374" width="11.7109375" style="292" customWidth="1"/>
    <col min="15375" max="15375" width="13.5703125" style="292" customWidth="1"/>
    <col min="15376" max="15376" width="13.28515625" style="292" customWidth="1"/>
    <col min="15377" max="15616" width="11.5703125" style="292"/>
    <col min="15617" max="15617" width="16.28515625" style="292" customWidth="1"/>
    <col min="15618" max="15620" width="10.5703125" style="292" customWidth="1"/>
    <col min="15621" max="15621" width="14.7109375" style="292" customWidth="1"/>
    <col min="15622" max="15622" width="12.140625" style="292" customWidth="1"/>
    <col min="15623" max="15623" width="13.85546875" style="292" customWidth="1"/>
    <col min="15624" max="15624" width="12.7109375" style="292" customWidth="1"/>
    <col min="15625" max="15625" width="12.42578125" style="292" bestFit="1" customWidth="1"/>
    <col min="15626" max="15626" width="11.7109375" style="292" customWidth="1"/>
    <col min="15627" max="15627" width="13.42578125" style="292" customWidth="1"/>
    <col min="15628" max="15628" width="12.42578125" style="292" bestFit="1" customWidth="1"/>
    <col min="15629" max="15630" width="11.7109375" style="292" customWidth="1"/>
    <col min="15631" max="15631" width="13.5703125" style="292" customWidth="1"/>
    <col min="15632" max="15632" width="13.28515625" style="292" customWidth="1"/>
    <col min="15633" max="15872" width="11.5703125" style="292"/>
    <col min="15873" max="15873" width="16.28515625" style="292" customWidth="1"/>
    <col min="15874" max="15876" width="10.5703125" style="292" customWidth="1"/>
    <col min="15877" max="15877" width="14.7109375" style="292" customWidth="1"/>
    <col min="15878" max="15878" width="12.140625" style="292" customWidth="1"/>
    <col min="15879" max="15879" width="13.85546875" style="292" customWidth="1"/>
    <col min="15880" max="15880" width="12.7109375" style="292" customWidth="1"/>
    <col min="15881" max="15881" width="12.42578125" style="292" bestFit="1" customWidth="1"/>
    <col min="15882" max="15882" width="11.7109375" style="292" customWidth="1"/>
    <col min="15883" max="15883" width="13.42578125" style="292" customWidth="1"/>
    <col min="15884" max="15884" width="12.42578125" style="292" bestFit="1" customWidth="1"/>
    <col min="15885" max="15886" width="11.7109375" style="292" customWidth="1"/>
    <col min="15887" max="15887" width="13.5703125" style="292" customWidth="1"/>
    <col min="15888" max="15888" width="13.28515625" style="292" customWidth="1"/>
    <col min="15889" max="16128" width="11.5703125" style="292"/>
    <col min="16129" max="16129" width="16.28515625" style="292" customWidth="1"/>
    <col min="16130" max="16132" width="10.5703125" style="292" customWidth="1"/>
    <col min="16133" max="16133" width="14.7109375" style="292" customWidth="1"/>
    <col min="16134" max="16134" width="12.140625" style="292" customWidth="1"/>
    <col min="16135" max="16135" width="13.85546875" style="292" customWidth="1"/>
    <col min="16136" max="16136" width="12.7109375" style="292" customWidth="1"/>
    <col min="16137" max="16137" width="12.42578125" style="292" bestFit="1" customWidth="1"/>
    <col min="16138" max="16138" width="11.7109375" style="292" customWidth="1"/>
    <col min="16139" max="16139" width="13.42578125" style="292" customWidth="1"/>
    <col min="16140" max="16140" width="12.42578125" style="292" bestFit="1" customWidth="1"/>
    <col min="16141" max="16142" width="11.7109375" style="292" customWidth="1"/>
    <col min="16143" max="16143" width="13.5703125" style="292" customWidth="1"/>
    <col min="16144" max="16144" width="13.28515625" style="292" customWidth="1"/>
    <col min="16145" max="16384" width="11.5703125" style="292"/>
  </cols>
  <sheetData>
    <row r="1" spans="1:17" ht="15" customHeight="1" x14ac:dyDescent="0.2">
      <c r="A1" s="815" t="s">
        <v>484</v>
      </c>
      <c r="B1" s="815"/>
      <c r="C1" s="815"/>
      <c r="D1" s="815"/>
      <c r="E1" s="815"/>
      <c r="F1" s="815"/>
      <c r="G1" s="815"/>
      <c r="H1" s="815"/>
      <c r="I1" s="815"/>
      <c r="J1" s="815"/>
      <c r="K1" s="815"/>
      <c r="L1" s="817"/>
      <c r="M1" s="817"/>
      <c r="N1" s="817"/>
      <c r="O1" s="817"/>
      <c r="P1" s="817"/>
      <c r="Q1" s="817"/>
    </row>
    <row r="2" spans="1:17" ht="12.75" customHeight="1" x14ac:dyDescent="0.2">
      <c r="A2" s="816"/>
      <c r="B2" s="816"/>
      <c r="C2" s="816"/>
      <c r="D2" s="816"/>
      <c r="E2" s="816"/>
      <c r="F2" s="816"/>
      <c r="G2" s="816"/>
      <c r="H2" s="816"/>
      <c r="I2" s="816"/>
      <c r="J2" s="816"/>
      <c r="K2" s="816"/>
      <c r="L2" s="818"/>
      <c r="M2" s="818"/>
      <c r="N2" s="818"/>
      <c r="O2" s="818"/>
      <c r="P2" s="818"/>
      <c r="Q2" s="818"/>
    </row>
    <row r="3" spans="1:17" x14ac:dyDescent="0.2">
      <c r="A3" s="737" t="s">
        <v>485</v>
      </c>
      <c r="B3" s="739" t="s">
        <v>486</v>
      </c>
      <c r="C3" s="731" t="s">
        <v>487</v>
      </c>
      <c r="D3" s="732"/>
      <c r="E3" s="733"/>
      <c r="F3" s="731" t="s">
        <v>488</v>
      </c>
      <c r="G3" s="732"/>
      <c r="H3" s="733"/>
      <c r="I3" s="731" t="s">
        <v>489</v>
      </c>
      <c r="J3" s="732"/>
      <c r="K3" s="733"/>
      <c r="L3" s="731" t="s">
        <v>490</v>
      </c>
      <c r="M3" s="732"/>
      <c r="N3" s="733"/>
      <c r="O3" s="731" t="s">
        <v>491</v>
      </c>
      <c r="P3" s="732"/>
      <c r="Q3" s="733"/>
    </row>
    <row r="4" spans="1:17" ht="38.25" x14ac:dyDescent="0.2">
      <c r="A4" s="738"/>
      <c r="B4" s="740"/>
      <c r="C4" s="431" t="s">
        <v>492</v>
      </c>
      <c r="D4" s="431" t="s">
        <v>493</v>
      </c>
      <c r="E4" s="432" t="s">
        <v>494</v>
      </c>
      <c r="F4" s="433" t="s">
        <v>495</v>
      </c>
      <c r="G4" s="433" t="s">
        <v>496</v>
      </c>
      <c r="H4" s="434" t="s">
        <v>497</v>
      </c>
      <c r="I4" s="433" t="s">
        <v>495</v>
      </c>
      <c r="J4" s="433" t="s">
        <v>498</v>
      </c>
      <c r="K4" s="434" t="s">
        <v>499</v>
      </c>
      <c r="L4" s="433" t="s">
        <v>495</v>
      </c>
      <c r="M4" s="433" t="s">
        <v>496</v>
      </c>
      <c r="N4" s="434" t="s">
        <v>500</v>
      </c>
      <c r="O4" s="433" t="s">
        <v>495</v>
      </c>
      <c r="P4" s="433" t="s">
        <v>496</v>
      </c>
      <c r="Q4" s="434" t="s">
        <v>501</v>
      </c>
    </row>
    <row r="5" spans="1:17" x14ac:dyDescent="0.2">
      <c r="A5" s="734" t="s">
        <v>502</v>
      </c>
      <c r="B5" s="435" t="s">
        <v>503</v>
      </c>
      <c r="C5" s="436">
        <v>54</v>
      </c>
      <c r="D5" s="436">
        <v>15</v>
      </c>
      <c r="E5" s="437">
        <f t="shared" ref="E5:E21" si="0">+D5/C5</f>
        <v>0.27777777777777779</v>
      </c>
      <c r="F5" s="436">
        <v>1799</v>
      </c>
      <c r="G5" s="438">
        <v>871</v>
      </c>
      <c r="H5" s="439">
        <f>G5/F5</f>
        <v>0.48415786548082268</v>
      </c>
      <c r="I5" s="440">
        <v>2838.43</v>
      </c>
      <c r="J5" s="440">
        <v>1537.74</v>
      </c>
      <c r="K5" s="441">
        <f>J5/I5</f>
        <v>0.5417572390370734</v>
      </c>
      <c r="L5" s="440">
        <v>3247.93</v>
      </c>
      <c r="M5" s="442">
        <v>1537.74</v>
      </c>
      <c r="N5" s="439">
        <f>M5/L5</f>
        <v>0.47345232194043596</v>
      </c>
      <c r="O5" s="443">
        <v>241703200</v>
      </c>
      <c r="P5" s="443">
        <v>129600450</v>
      </c>
      <c r="Q5" s="437">
        <f>P5/O5</f>
        <v>0.536196665993665</v>
      </c>
    </row>
    <row r="6" spans="1:17" x14ac:dyDescent="0.2">
      <c r="A6" s="735"/>
      <c r="B6" s="435" t="s">
        <v>504</v>
      </c>
      <c r="C6" s="436">
        <v>45</v>
      </c>
      <c r="D6" s="436">
        <v>15</v>
      </c>
      <c r="E6" s="437">
        <f t="shared" si="0"/>
        <v>0.33333333333333331</v>
      </c>
      <c r="F6" s="444">
        <v>5369</v>
      </c>
      <c r="G6" s="438">
        <v>2679</v>
      </c>
      <c r="H6" s="439">
        <f t="shared" ref="H6:H21" si="1">G6/F6</f>
        <v>0.49897560067051594</v>
      </c>
      <c r="I6" s="440">
        <v>15090.02</v>
      </c>
      <c r="J6" s="440">
        <v>6936.02</v>
      </c>
      <c r="K6" s="441">
        <f t="shared" ref="K6:K21" si="2">J6/I6</f>
        <v>0.45964286329640386</v>
      </c>
      <c r="L6" s="440">
        <v>15090.02</v>
      </c>
      <c r="M6" s="442">
        <v>6310.05</v>
      </c>
      <c r="N6" s="439">
        <f t="shared" ref="N6:N21" si="3">M6/L6</f>
        <v>0.41816047957524244</v>
      </c>
      <c r="O6" s="443">
        <v>1201803700</v>
      </c>
      <c r="P6" s="445">
        <v>599989300</v>
      </c>
      <c r="Q6" s="437">
        <f t="shared" ref="Q6:Q21" si="4">P6/O6</f>
        <v>0.499240682983419</v>
      </c>
    </row>
    <row r="7" spans="1:17" x14ac:dyDescent="0.2">
      <c r="A7" s="736"/>
      <c r="B7" s="435" t="s">
        <v>505</v>
      </c>
      <c r="C7" s="436">
        <v>30</v>
      </c>
      <c r="D7" s="436">
        <v>15</v>
      </c>
      <c r="E7" s="437">
        <f t="shared" si="0"/>
        <v>0.5</v>
      </c>
      <c r="F7" s="446">
        <v>2218</v>
      </c>
      <c r="G7" s="438">
        <v>1534</v>
      </c>
      <c r="H7" s="439">
        <f t="shared" si="1"/>
        <v>0.69161406672678083</v>
      </c>
      <c r="I7" s="440">
        <v>4147</v>
      </c>
      <c r="J7" s="440">
        <v>2053.7600000000002</v>
      </c>
      <c r="K7" s="441">
        <f t="shared" si="2"/>
        <v>0.49523993248131182</v>
      </c>
      <c r="L7" s="440">
        <v>4561.7</v>
      </c>
      <c r="M7" s="447">
        <v>2748.3609999999999</v>
      </c>
      <c r="N7" s="439">
        <f t="shared" si="3"/>
        <v>0.60248613455510003</v>
      </c>
      <c r="O7" s="443">
        <v>376473200</v>
      </c>
      <c r="P7" s="443">
        <v>228166900</v>
      </c>
      <c r="Q7" s="437">
        <f t="shared" si="4"/>
        <v>0.60606412355514283</v>
      </c>
    </row>
    <row r="8" spans="1:17" x14ac:dyDescent="0.2">
      <c r="A8" s="448" t="s">
        <v>506</v>
      </c>
      <c r="B8" s="448"/>
      <c r="C8" s="449">
        <f>SUM(C5:C7)</f>
        <v>129</v>
      </c>
      <c r="D8" s="449">
        <f>SUM(D5:D7)</f>
        <v>45</v>
      </c>
      <c r="E8" s="437">
        <f t="shared" si="0"/>
        <v>0.34883720930232559</v>
      </c>
      <c r="F8" s="449">
        <f t="shared" ref="F8:P8" si="5">F5+F6+F7</f>
        <v>9386</v>
      </c>
      <c r="G8" s="449">
        <f>G5+G6+G7</f>
        <v>5084</v>
      </c>
      <c r="H8" s="439">
        <f t="shared" si="1"/>
        <v>0.54165778819518429</v>
      </c>
      <c r="I8" s="450">
        <f t="shared" si="5"/>
        <v>22075.45</v>
      </c>
      <c r="J8" s="450">
        <f t="shared" si="5"/>
        <v>10527.52</v>
      </c>
      <c r="K8" s="451">
        <f t="shared" si="2"/>
        <v>0.47688812685585119</v>
      </c>
      <c r="L8" s="450">
        <f t="shared" si="5"/>
        <v>22899.65</v>
      </c>
      <c r="M8" s="450">
        <f t="shared" si="5"/>
        <v>10596.151</v>
      </c>
      <c r="N8" s="439">
        <f t="shared" si="3"/>
        <v>0.4627210896236405</v>
      </c>
      <c r="O8" s="452">
        <f t="shared" si="5"/>
        <v>1819980100</v>
      </c>
      <c r="P8" s="452">
        <f t="shared" si="5"/>
        <v>957756650</v>
      </c>
      <c r="Q8" s="453">
        <f t="shared" si="4"/>
        <v>0.52624567158728819</v>
      </c>
    </row>
    <row r="9" spans="1:17" x14ac:dyDescent="0.2">
      <c r="A9" s="734" t="s">
        <v>507</v>
      </c>
      <c r="B9" s="435" t="s">
        <v>508</v>
      </c>
      <c r="C9" s="454">
        <v>134</v>
      </c>
      <c r="D9" s="454">
        <v>30</v>
      </c>
      <c r="E9" s="437">
        <f t="shared" si="0"/>
        <v>0.22388059701492538</v>
      </c>
      <c r="F9" s="436">
        <v>17144</v>
      </c>
      <c r="G9" s="436">
        <v>2490</v>
      </c>
      <c r="H9" s="439">
        <f t="shared" si="1"/>
        <v>0.14524031731217918</v>
      </c>
      <c r="I9" s="440">
        <v>52436</v>
      </c>
      <c r="J9" s="440">
        <v>7159</v>
      </c>
      <c r="K9" s="441">
        <f t="shared" si="2"/>
        <v>0.13652833930887176</v>
      </c>
      <c r="L9" s="440">
        <v>57679.6</v>
      </c>
      <c r="M9" s="440">
        <v>7795.4250000000002</v>
      </c>
      <c r="N9" s="439">
        <f t="shared" si="3"/>
        <v>0.13515046914333664</v>
      </c>
      <c r="O9" s="443">
        <v>5016358300</v>
      </c>
      <c r="P9" s="455">
        <v>582815600</v>
      </c>
      <c r="Q9" s="437">
        <f t="shared" si="4"/>
        <v>0.11618300869776388</v>
      </c>
    </row>
    <row r="10" spans="1:17" x14ac:dyDescent="0.2">
      <c r="A10" s="735"/>
      <c r="B10" s="435" t="s">
        <v>509</v>
      </c>
      <c r="C10" s="454">
        <v>64</v>
      </c>
      <c r="D10" s="454">
        <v>15</v>
      </c>
      <c r="E10" s="437">
        <f t="shared" si="0"/>
        <v>0.234375</v>
      </c>
      <c r="F10" s="436">
        <v>13045</v>
      </c>
      <c r="G10" s="456">
        <v>3653</v>
      </c>
      <c r="H10" s="439">
        <f t="shared" si="1"/>
        <v>0.28003066308930624</v>
      </c>
      <c r="I10" s="440">
        <v>17606</v>
      </c>
      <c r="J10" s="440">
        <v>5148.5</v>
      </c>
      <c r="K10" s="441">
        <f t="shared" si="2"/>
        <v>0.29242871748267635</v>
      </c>
      <c r="L10" s="440">
        <v>19000</v>
      </c>
      <c r="M10" s="440">
        <v>6298.2</v>
      </c>
      <c r="N10" s="439">
        <f t="shared" si="3"/>
        <v>0.33148421052631577</v>
      </c>
      <c r="O10" s="443">
        <v>2326149500</v>
      </c>
      <c r="P10" s="443">
        <v>737600900</v>
      </c>
      <c r="Q10" s="437">
        <f t="shared" si="4"/>
        <v>0.31709092644303388</v>
      </c>
    </row>
    <row r="11" spans="1:17" x14ac:dyDescent="0.2">
      <c r="A11" s="735"/>
      <c r="B11" s="435" t="s">
        <v>510</v>
      </c>
      <c r="C11" s="454">
        <v>95</v>
      </c>
      <c r="D11" s="454">
        <v>15</v>
      </c>
      <c r="E11" s="437">
        <f t="shared" si="0"/>
        <v>0.15789473684210525</v>
      </c>
      <c r="F11" s="436">
        <v>15222</v>
      </c>
      <c r="G11" s="438">
        <v>2519</v>
      </c>
      <c r="H11" s="439">
        <f t="shared" si="1"/>
        <v>0.16548416765208251</v>
      </c>
      <c r="I11" s="440">
        <v>36134</v>
      </c>
      <c r="J11" s="440">
        <v>6820.9</v>
      </c>
      <c r="K11" s="441">
        <f t="shared" si="2"/>
        <v>0.18876681242043503</v>
      </c>
      <c r="L11" s="440">
        <v>43360.44</v>
      </c>
      <c r="M11" s="440">
        <v>8185.08</v>
      </c>
      <c r="N11" s="439">
        <f t="shared" si="3"/>
        <v>0.18876837965666399</v>
      </c>
      <c r="O11" s="443">
        <v>3431579800</v>
      </c>
      <c r="P11" s="443">
        <v>587641900</v>
      </c>
      <c r="Q11" s="437">
        <f t="shared" si="4"/>
        <v>0.17124529640837727</v>
      </c>
    </row>
    <row r="12" spans="1:17" x14ac:dyDescent="0.2">
      <c r="A12" s="735"/>
      <c r="B12" s="435" t="s">
        <v>511</v>
      </c>
      <c r="C12" s="454">
        <v>54</v>
      </c>
      <c r="D12" s="454">
        <v>15</v>
      </c>
      <c r="E12" s="437">
        <f t="shared" si="0"/>
        <v>0.27777777777777779</v>
      </c>
      <c r="F12" s="436">
        <v>1607</v>
      </c>
      <c r="G12" s="436">
        <v>611</v>
      </c>
      <c r="H12" s="439">
        <f t="shared" si="1"/>
        <v>0.38021157436216552</v>
      </c>
      <c r="I12" s="440">
        <v>4790.09</v>
      </c>
      <c r="J12" s="440">
        <v>2250.38</v>
      </c>
      <c r="K12" s="441">
        <f t="shared" si="2"/>
        <v>0.46979910607107594</v>
      </c>
      <c r="L12" s="440">
        <v>5748.1</v>
      </c>
      <c r="M12" s="440">
        <v>2700.4560000000001</v>
      </c>
      <c r="N12" s="439">
        <f t="shared" si="3"/>
        <v>0.46979975992066941</v>
      </c>
      <c r="O12" s="443">
        <v>470158200</v>
      </c>
      <c r="P12" s="443">
        <v>215818600</v>
      </c>
      <c r="Q12" s="437">
        <f t="shared" si="4"/>
        <v>0.4590340017466461</v>
      </c>
    </row>
    <row r="13" spans="1:17" x14ac:dyDescent="0.2">
      <c r="A13" s="736"/>
      <c r="B13" s="435" t="s">
        <v>512</v>
      </c>
      <c r="C13" s="454">
        <v>44</v>
      </c>
      <c r="D13" s="454">
        <v>15</v>
      </c>
      <c r="E13" s="437">
        <f t="shared" si="0"/>
        <v>0.34090909090909088</v>
      </c>
      <c r="F13" s="436">
        <v>2645</v>
      </c>
      <c r="G13" s="436">
        <v>1382</v>
      </c>
      <c r="H13" s="439">
        <f t="shared" si="1"/>
        <v>0.52249527410207941</v>
      </c>
      <c r="I13" s="440">
        <v>7590.12</v>
      </c>
      <c r="J13" s="440">
        <v>4440.04</v>
      </c>
      <c r="K13" s="441">
        <f t="shared" si="2"/>
        <v>0.58497625860987701</v>
      </c>
      <c r="L13" s="440">
        <v>8185.268</v>
      </c>
      <c r="M13" s="440">
        <v>5095.7030000000004</v>
      </c>
      <c r="N13" s="439">
        <f t="shared" si="3"/>
        <v>0.62254565152906427</v>
      </c>
      <c r="O13" s="457">
        <v>764407900</v>
      </c>
      <c r="P13" s="443">
        <v>438856900</v>
      </c>
      <c r="Q13" s="437">
        <f t="shared" si="4"/>
        <v>0.57411350667621308</v>
      </c>
    </row>
    <row r="14" spans="1:17" s="300" customFormat="1" x14ac:dyDescent="0.2">
      <c r="A14" s="448" t="s">
        <v>506</v>
      </c>
      <c r="B14" s="448"/>
      <c r="C14" s="458">
        <f>SUM(C9:C13)</f>
        <v>391</v>
      </c>
      <c r="D14" s="458">
        <f>SUM(D9:D13)</f>
        <v>90</v>
      </c>
      <c r="E14" s="453">
        <f t="shared" si="0"/>
        <v>0.23017902813299232</v>
      </c>
      <c r="F14" s="449">
        <f t="shared" ref="F14:P14" si="6">F9+F10+F11+F12+F13</f>
        <v>49663</v>
      </c>
      <c r="G14" s="449">
        <f t="shared" si="6"/>
        <v>10655</v>
      </c>
      <c r="H14" s="459">
        <f t="shared" si="1"/>
        <v>0.21454604031170085</v>
      </c>
      <c r="I14" s="450">
        <f t="shared" si="6"/>
        <v>118556.20999999999</v>
      </c>
      <c r="J14" s="450">
        <f t="shared" si="6"/>
        <v>25818.820000000003</v>
      </c>
      <c r="K14" s="451">
        <f t="shared" si="2"/>
        <v>0.21777703588871478</v>
      </c>
      <c r="L14" s="450">
        <f t="shared" si="6"/>
        <v>133973.40800000002</v>
      </c>
      <c r="M14" s="450">
        <f t="shared" si="6"/>
        <v>30074.864000000001</v>
      </c>
      <c r="N14" s="459">
        <f t="shared" si="3"/>
        <v>0.22448383189595353</v>
      </c>
      <c r="O14" s="452">
        <f t="shared" si="6"/>
        <v>12008653700</v>
      </c>
      <c r="P14" s="452">
        <f t="shared" si="6"/>
        <v>2562733900</v>
      </c>
      <c r="Q14" s="453">
        <f t="shared" si="4"/>
        <v>0.21340726146512159</v>
      </c>
    </row>
    <row r="15" spans="1:17" x14ac:dyDescent="0.2">
      <c r="A15" s="734" t="s">
        <v>513</v>
      </c>
      <c r="B15" s="460" t="s">
        <v>514</v>
      </c>
      <c r="C15" s="454">
        <v>68</v>
      </c>
      <c r="D15" s="454">
        <v>15</v>
      </c>
      <c r="E15" s="437">
        <f t="shared" si="0"/>
        <v>0.22058823529411764</v>
      </c>
      <c r="F15" s="436">
        <v>3221</v>
      </c>
      <c r="G15" s="436">
        <v>1017</v>
      </c>
      <c r="H15" s="439">
        <f t="shared" si="1"/>
        <v>0.31574045327538031</v>
      </c>
      <c r="I15" s="440">
        <v>4829.82</v>
      </c>
      <c r="J15" s="440">
        <v>1672.22</v>
      </c>
      <c r="K15" s="441">
        <f t="shared" si="2"/>
        <v>0.34622822382614676</v>
      </c>
      <c r="L15" s="440">
        <v>5312.8019999999997</v>
      </c>
      <c r="M15" s="461">
        <v>1871.1420000000001</v>
      </c>
      <c r="N15" s="439">
        <f t="shared" si="3"/>
        <v>0.3521949434592142</v>
      </c>
      <c r="O15" s="443">
        <v>647302400</v>
      </c>
      <c r="P15" s="443">
        <v>226168000</v>
      </c>
      <c r="Q15" s="437">
        <f t="shared" si="4"/>
        <v>0.34940083645603665</v>
      </c>
    </row>
    <row r="16" spans="1:17" x14ac:dyDescent="0.2">
      <c r="A16" s="735"/>
      <c r="B16" s="435" t="s">
        <v>515</v>
      </c>
      <c r="C16" s="454">
        <v>131</v>
      </c>
      <c r="D16" s="454">
        <v>15</v>
      </c>
      <c r="E16" s="437">
        <f t="shared" si="0"/>
        <v>0.11450381679389313</v>
      </c>
      <c r="F16" s="436">
        <v>4644</v>
      </c>
      <c r="G16" s="436">
        <v>909</v>
      </c>
      <c r="H16" s="439">
        <f t="shared" si="1"/>
        <v>0.19573643410852712</v>
      </c>
      <c r="I16" s="440">
        <v>7500.91</v>
      </c>
      <c r="J16" s="440">
        <v>1744.95</v>
      </c>
      <c r="K16" s="441">
        <f t="shared" si="2"/>
        <v>0.23263177401141996</v>
      </c>
      <c r="L16" s="440">
        <v>9000</v>
      </c>
      <c r="M16" s="461">
        <v>2093.94</v>
      </c>
      <c r="N16" s="439">
        <f t="shared" si="3"/>
        <v>0.23266000000000001</v>
      </c>
      <c r="O16" s="443">
        <v>679140300</v>
      </c>
      <c r="P16" s="443">
        <v>148128300</v>
      </c>
      <c r="Q16" s="437">
        <f t="shared" si="4"/>
        <v>0.21811148594774893</v>
      </c>
    </row>
    <row r="17" spans="1:17" x14ac:dyDescent="0.2">
      <c r="A17" s="735"/>
      <c r="B17" s="435" t="s">
        <v>516</v>
      </c>
      <c r="C17" s="454">
        <v>39</v>
      </c>
      <c r="D17" s="454">
        <v>15</v>
      </c>
      <c r="E17" s="437">
        <f t="shared" si="0"/>
        <v>0.38461538461538464</v>
      </c>
      <c r="F17" s="436">
        <v>1200</v>
      </c>
      <c r="G17" s="462">
        <v>576</v>
      </c>
      <c r="H17" s="439">
        <f t="shared" si="1"/>
        <v>0.48</v>
      </c>
      <c r="I17" s="440">
        <v>1747.4280000000001</v>
      </c>
      <c r="J17" s="440">
        <v>968.2</v>
      </c>
      <c r="K17" s="441">
        <f t="shared" si="2"/>
        <v>0.55407146961133735</v>
      </c>
      <c r="L17" s="440">
        <v>2100</v>
      </c>
      <c r="M17" s="442">
        <v>1245</v>
      </c>
      <c r="N17" s="439">
        <f t="shared" si="3"/>
        <v>0.59285714285714286</v>
      </c>
      <c r="O17" s="443">
        <v>234766800</v>
      </c>
      <c r="P17" s="443">
        <v>138959800</v>
      </c>
      <c r="Q17" s="437">
        <f t="shared" si="4"/>
        <v>0.5919056697965811</v>
      </c>
    </row>
    <row r="18" spans="1:17" x14ac:dyDescent="0.2">
      <c r="A18" s="735"/>
      <c r="B18" s="435" t="s">
        <v>517</v>
      </c>
      <c r="C18" s="454">
        <v>96</v>
      </c>
      <c r="D18" s="454">
        <v>15</v>
      </c>
      <c r="E18" s="437">
        <f t="shared" si="0"/>
        <v>0.15625</v>
      </c>
      <c r="F18" s="436">
        <v>1879</v>
      </c>
      <c r="G18" s="438">
        <v>609</v>
      </c>
      <c r="H18" s="439">
        <f t="shared" si="1"/>
        <v>0.32410856838744012</v>
      </c>
      <c r="I18" s="440">
        <v>2555.9899999999998</v>
      </c>
      <c r="J18" s="440">
        <v>961.9</v>
      </c>
      <c r="K18" s="441">
        <f t="shared" si="2"/>
        <v>0.37633167578902893</v>
      </c>
      <c r="L18" s="440">
        <v>3067.3919999999998</v>
      </c>
      <c r="M18" s="442">
        <v>1128.8399999999999</v>
      </c>
      <c r="N18" s="439">
        <f t="shared" si="3"/>
        <v>0.36801295693540309</v>
      </c>
      <c r="O18" s="443">
        <v>297175300</v>
      </c>
      <c r="P18" s="443">
        <v>125236200</v>
      </c>
      <c r="Q18" s="437">
        <f t="shared" si="4"/>
        <v>0.42142196878408134</v>
      </c>
    </row>
    <row r="19" spans="1:17" x14ac:dyDescent="0.2">
      <c r="A19" s="736"/>
      <c r="B19" s="435" t="s">
        <v>518</v>
      </c>
      <c r="C19" s="454">
        <v>49</v>
      </c>
      <c r="D19" s="454">
        <v>15</v>
      </c>
      <c r="E19" s="437">
        <f t="shared" si="0"/>
        <v>0.30612244897959184</v>
      </c>
      <c r="F19" s="436">
        <v>2936</v>
      </c>
      <c r="G19" s="436">
        <v>1636</v>
      </c>
      <c r="H19" s="439">
        <f t="shared" si="1"/>
        <v>0.55722070844686644</v>
      </c>
      <c r="I19" s="440">
        <v>7310</v>
      </c>
      <c r="J19" s="440">
        <v>5110.8599999999997</v>
      </c>
      <c r="K19" s="441">
        <f t="shared" si="2"/>
        <v>0.69916005471956222</v>
      </c>
      <c r="L19" s="440">
        <v>8041</v>
      </c>
      <c r="M19" s="442">
        <v>5601.1549999999997</v>
      </c>
      <c r="N19" s="439">
        <f t="shared" si="3"/>
        <v>0.69657443104091532</v>
      </c>
      <c r="O19" s="443">
        <v>802734200</v>
      </c>
      <c r="P19" s="443">
        <v>559049400</v>
      </c>
      <c r="Q19" s="437">
        <f t="shared" si="4"/>
        <v>0.69643152116852625</v>
      </c>
    </row>
    <row r="20" spans="1:17" s="300" customFormat="1" x14ac:dyDescent="0.2">
      <c r="A20" s="448" t="s">
        <v>506</v>
      </c>
      <c r="B20" s="448"/>
      <c r="C20" s="458">
        <f>SUM(C15:C19)</f>
        <v>383</v>
      </c>
      <c r="D20" s="458">
        <f>SUM(D15:D19)</f>
        <v>75</v>
      </c>
      <c r="E20" s="437">
        <f t="shared" si="0"/>
        <v>0.195822454308094</v>
      </c>
      <c r="F20" s="449">
        <f t="shared" ref="F20:P20" si="7">F15+F16+F17+F18+F19</f>
        <v>13880</v>
      </c>
      <c r="G20" s="458">
        <f t="shared" si="7"/>
        <v>4747</v>
      </c>
      <c r="H20" s="459">
        <f t="shared" si="1"/>
        <v>0.34200288184438038</v>
      </c>
      <c r="I20" s="450">
        <f t="shared" si="7"/>
        <v>23944.148000000001</v>
      </c>
      <c r="J20" s="450">
        <f t="shared" si="7"/>
        <v>10458.129999999999</v>
      </c>
      <c r="K20" s="451">
        <f t="shared" si="2"/>
        <v>0.43677185757455217</v>
      </c>
      <c r="L20" s="450">
        <f t="shared" si="7"/>
        <v>27521.194</v>
      </c>
      <c r="M20" s="463">
        <f t="shared" si="7"/>
        <v>11940.077000000001</v>
      </c>
      <c r="N20" s="459">
        <f t="shared" si="3"/>
        <v>0.43385025373535763</v>
      </c>
      <c r="O20" s="452">
        <f t="shared" si="7"/>
        <v>2661119000</v>
      </c>
      <c r="P20" s="452">
        <f t="shared" si="7"/>
        <v>1197541700</v>
      </c>
      <c r="Q20" s="453">
        <f t="shared" si="4"/>
        <v>0.45001433607441083</v>
      </c>
    </row>
    <row r="21" spans="1:17" s="300" customFormat="1" x14ac:dyDescent="0.2">
      <c r="A21" s="448" t="s">
        <v>519</v>
      </c>
      <c r="B21" s="448"/>
      <c r="C21" s="449">
        <f>C8+C14+C20</f>
        <v>903</v>
      </c>
      <c r="D21" s="449">
        <f t="shared" ref="D21:P21" si="8">D8+D14+D20</f>
        <v>210</v>
      </c>
      <c r="E21" s="453">
        <f t="shared" si="0"/>
        <v>0.23255813953488372</v>
      </c>
      <c r="F21" s="449">
        <f t="shared" si="8"/>
        <v>72929</v>
      </c>
      <c r="G21" s="449">
        <f t="shared" si="8"/>
        <v>20486</v>
      </c>
      <c r="H21" s="459">
        <f t="shared" si="1"/>
        <v>0.28090334434861303</v>
      </c>
      <c r="I21" s="450">
        <f t="shared" si="8"/>
        <v>164575.80800000002</v>
      </c>
      <c r="J21" s="450">
        <f t="shared" si="8"/>
        <v>46804.47</v>
      </c>
      <c r="K21" s="451">
        <f t="shared" si="2"/>
        <v>0.28439459340220891</v>
      </c>
      <c r="L21" s="450">
        <f t="shared" si="8"/>
        <v>184394.25200000001</v>
      </c>
      <c r="M21" s="463">
        <f t="shared" si="8"/>
        <v>52611.092000000004</v>
      </c>
      <c r="N21" s="459">
        <f t="shared" si="3"/>
        <v>0.28531850331213143</v>
      </c>
      <c r="O21" s="452">
        <f t="shared" si="8"/>
        <v>16489752800</v>
      </c>
      <c r="P21" s="452">
        <f t="shared" si="8"/>
        <v>4718032250</v>
      </c>
      <c r="Q21" s="464">
        <f t="shared" si="4"/>
        <v>0.28611904054741194</v>
      </c>
    </row>
  </sheetData>
  <mergeCells count="11">
    <mergeCell ref="A1:K2"/>
    <mergeCell ref="O3:Q3"/>
    <mergeCell ref="A5:A7"/>
    <mergeCell ref="A9:A13"/>
    <mergeCell ref="A15:A19"/>
    <mergeCell ref="A3:A4"/>
    <mergeCell ref="B3:B4"/>
    <mergeCell ref="C3:E3"/>
    <mergeCell ref="F3:H3"/>
    <mergeCell ref="I3:K3"/>
    <mergeCell ref="L3:N3"/>
  </mergeCells>
  <pageMargins left="0.70866141732283472" right="0.70866141732283472" top="0.74803149606299213" bottom="0.74803149606299213" header="0.31496062992125984" footer="0.31496062992125984"/>
  <pageSetup paperSize="9" scale="58"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topLeftCell="A10" zoomScaleNormal="100" zoomScaleSheetLayoutView="100" workbookViewId="0">
      <selection activeCell="K25" sqref="K25"/>
    </sheetView>
  </sheetViews>
  <sheetFormatPr baseColWidth="10" defaultRowHeight="15" x14ac:dyDescent="0.25"/>
  <cols>
    <col min="1" max="1" width="7.28515625" customWidth="1"/>
    <col min="2" max="2" width="18.7109375" customWidth="1"/>
    <col min="3" max="3" width="13.7109375" customWidth="1"/>
    <col min="4" max="4" width="17.7109375" bestFit="1" customWidth="1"/>
    <col min="5" max="6" width="12.85546875" customWidth="1"/>
    <col min="7" max="7" width="20.42578125" customWidth="1"/>
    <col min="257" max="257" width="7.28515625" customWidth="1"/>
    <col min="258" max="258" width="17.28515625" customWidth="1"/>
    <col min="259" max="259" width="13.7109375" customWidth="1"/>
    <col min="260" max="260" width="13.5703125" customWidth="1"/>
    <col min="261" max="261" width="11.85546875" customWidth="1"/>
    <col min="262" max="262" width="12.85546875" customWidth="1"/>
    <col min="263" max="263" width="15.5703125" customWidth="1"/>
    <col min="513" max="513" width="7.28515625" customWidth="1"/>
    <col min="514" max="514" width="17.28515625" customWidth="1"/>
    <col min="515" max="515" width="13.7109375" customWidth="1"/>
    <col min="516" max="516" width="13.5703125" customWidth="1"/>
    <col min="517" max="517" width="11.85546875" customWidth="1"/>
    <col min="518" max="518" width="12.85546875" customWidth="1"/>
    <col min="519" max="519" width="15.5703125" customWidth="1"/>
    <col min="769" max="769" width="7.28515625" customWidth="1"/>
    <col min="770" max="770" width="17.28515625" customWidth="1"/>
    <col min="771" max="771" width="13.7109375" customWidth="1"/>
    <col min="772" max="772" width="13.5703125" customWidth="1"/>
    <col min="773" max="773" width="11.85546875" customWidth="1"/>
    <col min="774" max="774" width="12.85546875" customWidth="1"/>
    <col min="775" max="775" width="15.5703125" customWidth="1"/>
    <col min="1025" max="1025" width="7.28515625" customWidth="1"/>
    <col min="1026" max="1026" width="17.28515625" customWidth="1"/>
    <col min="1027" max="1027" width="13.7109375" customWidth="1"/>
    <col min="1028" max="1028" width="13.5703125" customWidth="1"/>
    <col min="1029" max="1029" width="11.85546875" customWidth="1"/>
    <col min="1030" max="1030" width="12.85546875" customWidth="1"/>
    <col min="1031" max="1031" width="15.5703125" customWidth="1"/>
    <col min="1281" max="1281" width="7.28515625" customWidth="1"/>
    <col min="1282" max="1282" width="17.28515625" customWidth="1"/>
    <col min="1283" max="1283" width="13.7109375" customWidth="1"/>
    <col min="1284" max="1284" width="13.5703125" customWidth="1"/>
    <col min="1285" max="1285" width="11.85546875" customWidth="1"/>
    <col min="1286" max="1286" width="12.85546875" customWidth="1"/>
    <col min="1287" max="1287" width="15.5703125" customWidth="1"/>
    <col min="1537" max="1537" width="7.28515625" customWidth="1"/>
    <col min="1538" max="1538" width="17.28515625" customWidth="1"/>
    <col min="1539" max="1539" width="13.7109375" customWidth="1"/>
    <col min="1540" max="1540" width="13.5703125" customWidth="1"/>
    <col min="1541" max="1541" width="11.85546875" customWidth="1"/>
    <col min="1542" max="1542" width="12.85546875" customWidth="1"/>
    <col min="1543" max="1543" width="15.5703125" customWidth="1"/>
    <col min="1793" max="1793" width="7.28515625" customWidth="1"/>
    <col min="1794" max="1794" width="17.28515625" customWidth="1"/>
    <col min="1795" max="1795" width="13.7109375" customWidth="1"/>
    <col min="1796" max="1796" width="13.5703125" customWidth="1"/>
    <col min="1797" max="1797" width="11.85546875" customWidth="1"/>
    <col min="1798" max="1798" width="12.85546875" customWidth="1"/>
    <col min="1799" max="1799" width="15.5703125" customWidth="1"/>
    <col min="2049" max="2049" width="7.28515625" customWidth="1"/>
    <col min="2050" max="2050" width="17.28515625" customWidth="1"/>
    <col min="2051" max="2051" width="13.7109375" customWidth="1"/>
    <col min="2052" max="2052" width="13.5703125" customWidth="1"/>
    <col min="2053" max="2053" width="11.85546875" customWidth="1"/>
    <col min="2054" max="2054" width="12.85546875" customWidth="1"/>
    <col min="2055" max="2055" width="15.5703125" customWidth="1"/>
    <col min="2305" max="2305" width="7.28515625" customWidth="1"/>
    <col min="2306" max="2306" width="17.28515625" customWidth="1"/>
    <col min="2307" max="2307" width="13.7109375" customWidth="1"/>
    <col min="2308" max="2308" width="13.5703125" customWidth="1"/>
    <col min="2309" max="2309" width="11.85546875" customWidth="1"/>
    <col min="2310" max="2310" width="12.85546875" customWidth="1"/>
    <col min="2311" max="2311" width="15.5703125" customWidth="1"/>
    <col min="2561" max="2561" width="7.28515625" customWidth="1"/>
    <col min="2562" max="2562" width="17.28515625" customWidth="1"/>
    <col min="2563" max="2563" width="13.7109375" customWidth="1"/>
    <col min="2564" max="2564" width="13.5703125" customWidth="1"/>
    <col min="2565" max="2565" width="11.85546875" customWidth="1"/>
    <col min="2566" max="2566" width="12.85546875" customWidth="1"/>
    <col min="2567" max="2567" width="15.5703125" customWidth="1"/>
    <col min="2817" max="2817" width="7.28515625" customWidth="1"/>
    <col min="2818" max="2818" width="17.28515625" customWidth="1"/>
    <col min="2819" max="2819" width="13.7109375" customWidth="1"/>
    <col min="2820" max="2820" width="13.5703125" customWidth="1"/>
    <col min="2821" max="2821" width="11.85546875" customWidth="1"/>
    <col min="2822" max="2822" width="12.85546875" customWidth="1"/>
    <col min="2823" max="2823" width="15.5703125" customWidth="1"/>
    <col min="3073" max="3073" width="7.28515625" customWidth="1"/>
    <col min="3074" max="3074" width="17.28515625" customWidth="1"/>
    <col min="3075" max="3075" width="13.7109375" customWidth="1"/>
    <col min="3076" max="3076" width="13.5703125" customWidth="1"/>
    <col min="3077" max="3077" width="11.85546875" customWidth="1"/>
    <col min="3078" max="3078" width="12.85546875" customWidth="1"/>
    <col min="3079" max="3079" width="15.5703125" customWidth="1"/>
    <col min="3329" max="3329" width="7.28515625" customWidth="1"/>
    <col min="3330" max="3330" width="17.28515625" customWidth="1"/>
    <col min="3331" max="3331" width="13.7109375" customWidth="1"/>
    <col min="3332" max="3332" width="13.5703125" customWidth="1"/>
    <col min="3333" max="3333" width="11.85546875" customWidth="1"/>
    <col min="3334" max="3334" width="12.85546875" customWidth="1"/>
    <col min="3335" max="3335" width="15.5703125" customWidth="1"/>
    <col min="3585" max="3585" width="7.28515625" customWidth="1"/>
    <col min="3586" max="3586" width="17.28515625" customWidth="1"/>
    <col min="3587" max="3587" width="13.7109375" customWidth="1"/>
    <col min="3588" max="3588" width="13.5703125" customWidth="1"/>
    <col min="3589" max="3589" width="11.85546875" customWidth="1"/>
    <col min="3590" max="3590" width="12.85546875" customWidth="1"/>
    <col min="3591" max="3591" width="15.5703125" customWidth="1"/>
    <col min="3841" max="3841" width="7.28515625" customWidth="1"/>
    <col min="3842" max="3842" width="17.28515625" customWidth="1"/>
    <col min="3843" max="3843" width="13.7109375" customWidth="1"/>
    <col min="3844" max="3844" width="13.5703125" customWidth="1"/>
    <col min="3845" max="3845" width="11.85546875" customWidth="1"/>
    <col min="3846" max="3846" width="12.85546875" customWidth="1"/>
    <col min="3847" max="3847" width="15.5703125" customWidth="1"/>
    <col min="4097" max="4097" width="7.28515625" customWidth="1"/>
    <col min="4098" max="4098" width="17.28515625" customWidth="1"/>
    <col min="4099" max="4099" width="13.7109375" customWidth="1"/>
    <col min="4100" max="4100" width="13.5703125" customWidth="1"/>
    <col min="4101" max="4101" width="11.85546875" customWidth="1"/>
    <col min="4102" max="4102" width="12.85546875" customWidth="1"/>
    <col min="4103" max="4103" width="15.5703125" customWidth="1"/>
    <col min="4353" max="4353" width="7.28515625" customWidth="1"/>
    <col min="4354" max="4354" width="17.28515625" customWidth="1"/>
    <col min="4355" max="4355" width="13.7109375" customWidth="1"/>
    <col min="4356" max="4356" width="13.5703125" customWidth="1"/>
    <col min="4357" max="4357" width="11.85546875" customWidth="1"/>
    <col min="4358" max="4358" width="12.85546875" customWidth="1"/>
    <col min="4359" max="4359" width="15.5703125" customWidth="1"/>
    <col min="4609" max="4609" width="7.28515625" customWidth="1"/>
    <col min="4610" max="4610" width="17.28515625" customWidth="1"/>
    <col min="4611" max="4611" width="13.7109375" customWidth="1"/>
    <col min="4612" max="4612" width="13.5703125" customWidth="1"/>
    <col min="4613" max="4613" width="11.85546875" customWidth="1"/>
    <col min="4614" max="4614" width="12.85546875" customWidth="1"/>
    <col min="4615" max="4615" width="15.5703125" customWidth="1"/>
    <col min="4865" max="4865" width="7.28515625" customWidth="1"/>
    <col min="4866" max="4866" width="17.28515625" customWidth="1"/>
    <col min="4867" max="4867" width="13.7109375" customWidth="1"/>
    <col min="4868" max="4868" width="13.5703125" customWidth="1"/>
    <col min="4869" max="4869" width="11.85546875" customWidth="1"/>
    <col min="4870" max="4870" width="12.85546875" customWidth="1"/>
    <col min="4871" max="4871" width="15.5703125" customWidth="1"/>
    <col min="5121" max="5121" width="7.28515625" customWidth="1"/>
    <col min="5122" max="5122" width="17.28515625" customWidth="1"/>
    <col min="5123" max="5123" width="13.7109375" customWidth="1"/>
    <col min="5124" max="5124" width="13.5703125" customWidth="1"/>
    <col min="5125" max="5125" width="11.85546875" customWidth="1"/>
    <col min="5126" max="5126" width="12.85546875" customWidth="1"/>
    <col min="5127" max="5127" width="15.5703125" customWidth="1"/>
    <col min="5377" max="5377" width="7.28515625" customWidth="1"/>
    <col min="5378" max="5378" width="17.28515625" customWidth="1"/>
    <col min="5379" max="5379" width="13.7109375" customWidth="1"/>
    <col min="5380" max="5380" width="13.5703125" customWidth="1"/>
    <col min="5381" max="5381" width="11.85546875" customWidth="1"/>
    <col min="5382" max="5382" width="12.85546875" customWidth="1"/>
    <col min="5383" max="5383" width="15.5703125" customWidth="1"/>
    <col min="5633" max="5633" width="7.28515625" customWidth="1"/>
    <col min="5634" max="5634" width="17.28515625" customWidth="1"/>
    <col min="5635" max="5635" width="13.7109375" customWidth="1"/>
    <col min="5636" max="5636" width="13.5703125" customWidth="1"/>
    <col min="5637" max="5637" width="11.85546875" customWidth="1"/>
    <col min="5638" max="5638" width="12.85546875" customWidth="1"/>
    <col min="5639" max="5639" width="15.5703125" customWidth="1"/>
    <col min="5889" max="5889" width="7.28515625" customWidth="1"/>
    <col min="5890" max="5890" width="17.28515625" customWidth="1"/>
    <col min="5891" max="5891" width="13.7109375" customWidth="1"/>
    <col min="5892" max="5892" width="13.5703125" customWidth="1"/>
    <col min="5893" max="5893" width="11.85546875" customWidth="1"/>
    <col min="5894" max="5894" width="12.85546875" customWidth="1"/>
    <col min="5895" max="5895" width="15.5703125" customWidth="1"/>
    <col min="6145" max="6145" width="7.28515625" customWidth="1"/>
    <col min="6146" max="6146" width="17.28515625" customWidth="1"/>
    <col min="6147" max="6147" width="13.7109375" customWidth="1"/>
    <col min="6148" max="6148" width="13.5703125" customWidth="1"/>
    <col min="6149" max="6149" width="11.85546875" customWidth="1"/>
    <col min="6150" max="6150" width="12.85546875" customWidth="1"/>
    <col min="6151" max="6151" width="15.5703125" customWidth="1"/>
    <col min="6401" max="6401" width="7.28515625" customWidth="1"/>
    <col min="6402" max="6402" width="17.28515625" customWidth="1"/>
    <col min="6403" max="6403" width="13.7109375" customWidth="1"/>
    <col min="6404" max="6404" width="13.5703125" customWidth="1"/>
    <col min="6405" max="6405" width="11.85546875" customWidth="1"/>
    <col min="6406" max="6406" width="12.85546875" customWidth="1"/>
    <col min="6407" max="6407" width="15.5703125" customWidth="1"/>
    <col min="6657" max="6657" width="7.28515625" customWidth="1"/>
    <col min="6658" max="6658" width="17.28515625" customWidth="1"/>
    <col min="6659" max="6659" width="13.7109375" customWidth="1"/>
    <col min="6660" max="6660" width="13.5703125" customWidth="1"/>
    <col min="6661" max="6661" width="11.85546875" customWidth="1"/>
    <col min="6662" max="6662" width="12.85546875" customWidth="1"/>
    <col min="6663" max="6663" width="15.5703125" customWidth="1"/>
    <col min="6913" max="6913" width="7.28515625" customWidth="1"/>
    <col min="6914" max="6914" width="17.28515625" customWidth="1"/>
    <col min="6915" max="6915" width="13.7109375" customWidth="1"/>
    <col min="6916" max="6916" width="13.5703125" customWidth="1"/>
    <col min="6917" max="6917" width="11.85546875" customWidth="1"/>
    <col min="6918" max="6918" width="12.85546875" customWidth="1"/>
    <col min="6919" max="6919" width="15.5703125" customWidth="1"/>
    <col min="7169" max="7169" width="7.28515625" customWidth="1"/>
    <col min="7170" max="7170" width="17.28515625" customWidth="1"/>
    <col min="7171" max="7171" width="13.7109375" customWidth="1"/>
    <col min="7172" max="7172" width="13.5703125" customWidth="1"/>
    <col min="7173" max="7173" width="11.85546875" customWidth="1"/>
    <col min="7174" max="7174" width="12.85546875" customWidth="1"/>
    <col min="7175" max="7175" width="15.5703125" customWidth="1"/>
    <col min="7425" max="7425" width="7.28515625" customWidth="1"/>
    <col min="7426" max="7426" width="17.28515625" customWidth="1"/>
    <col min="7427" max="7427" width="13.7109375" customWidth="1"/>
    <col min="7428" max="7428" width="13.5703125" customWidth="1"/>
    <col min="7429" max="7429" width="11.85546875" customWidth="1"/>
    <col min="7430" max="7430" width="12.85546875" customWidth="1"/>
    <col min="7431" max="7431" width="15.5703125" customWidth="1"/>
    <col min="7681" max="7681" width="7.28515625" customWidth="1"/>
    <col min="7682" max="7682" width="17.28515625" customWidth="1"/>
    <col min="7683" max="7683" width="13.7109375" customWidth="1"/>
    <col min="7684" max="7684" width="13.5703125" customWidth="1"/>
    <col min="7685" max="7685" width="11.85546875" customWidth="1"/>
    <col min="7686" max="7686" width="12.85546875" customWidth="1"/>
    <col min="7687" max="7687" width="15.5703125" customWidth="1"/>
    <col min="7937" max="7937" width="7.28515625" customWidth="1"/>
    <col min="7938" max="7938" width="17.28515625" customWidth="1"/>
    <col min="7939" max="7939" width="13.7109375" customWidth="1"/>
    <col min="7940" max="7940" width="13.5703125" customWidth="1"/>
    <col min="7941" max="7941" width="11.85546875" customWidth="1"/>
    <col min="7942" max="7942" width="12.85546875" customWidth="1"/>
    <col min="7943" max="7943" width="15.5703125" customWidth="1"/>
    <col min="8193" max="8193" width="7.28515625" customWidth="1"/>
    <col min="8194" max="8194" width="17.28515625" customWidth="1"/>
    <col min="8195" max="8195" width="13.7109375" customWidth="1"/>
    <col min="8196" max="8196" width="13.5703125" customWidth="1"/>
    <col min="8197" max="8197" width="11.85546875" customWidth="1"/>
    <col min="8198" max="8198" width="12.85546875" customWidth="1"/>
    <col min="8199" max="8199" width="15.5703125" customWidth="1"/>
    <col min="8449" max="8449" width="7.28515625" customWidth="1"/>
    <col min="8450" max="8450" width="17.28515625" customWidth="1"/>
    <col min="8451" max="8451" width="13.7109375" customWidth="1"/>
    <col min="8452" max="8452" width="13.5703125" customWidth="1"/>
    <col min="8453" max="8453" width="11.85546875" customWidth="1"/>
    <col min="8454" max="8454" width="12.85546875" customWidth="1"/>
    <col min="8455" max="8455" width="15.5703125" customWidth="1"/>
    <col min="8705" max="8705" width="7.28515625" customWidth="1"/>
    <col min="8706" max="8706" width="17.28515625" customWidth="1"/>
    <col min="8707" max="8707" width="13.7109375" customWidth="1"/>
    <col min="8708" max="8708" width="13.5703125" customWidth="1"/>
    <col min="8709" max="8709" width="11.85546875" customWidth="1"/>
    <col min="8710" max="8710" width="12.85546875" customWidth="1"/>
    <col min="8711" max="8711" width="15.5703125" customWidth="1"/>
    <col min="8961" max="8961" width="7.28515625" customWidth="1"/>
    <col min="8962" max="8962" width="17.28515625" customWidth="1"/>
    <col min="8963" max="8963" width="13.7109375" customWidth="1"/>
    <col min="8964" max="8964" width="13.5703125" customWidth="1"/>
    <col min="8965" max="8965" width="11.85546875" customWidth="1"/>
    <col min="8966" max="8966" width="12.85546875" customWidth="1"/>
    <col min="8967" max="8967" width="15.5703125" customWidth="1"/>
    <col min="9217" max="9217" width="7.28515625" customWidth="1"/>
    <col min="9218" max="9218" width="17.28515625" customWidth="1"/>
    <col min="9219" max="9219" width="13.7109375" customWidth="1"/>
    <col min="9220" max="9220" width="13.5703125" customWidth="1"/>
    <col min="9221" max="9221" width="11.85546875" customWidth="1"/>
    <col min="9222" max="9222" width="12.85546875" customWidth="1"/>
    <col min="9223" max="9223" width="15.5703125" customWidth="1"/>
    <col min="9473" max="9473" width="7.28515625" customWidth="1"/>
    <col min="9474" max="9474" width="17.28515625" customWidth="1"/>
    <col min="9475" max="9475" width="13.7109375" customWidth="1"/>
    <col min="9476" max="9476" width="13.5703125" customWidth="1"/>
    <col min="9477" max="9477" width="11.85546875" customWidth="1"/>
    <col min="9478" max="9478" width="12.85546875" customWidth="1"/>
    <col min="9479" max="9479" width="15.5703125" customWidth="1"/>
    <col min="9729" max="9729" width="7.28515625" customWidth="1"/>
    <col min="9730" max="9730" width="17.28515625" customWidth="1"/>
    <col min="9731" max="9731" width="13.7109375" customWidth="1"/>
    <col min="9732" max="9732" width="13.5703125" customWidth="1"/>
    <col min="9733" max="9733" width="11.85546875" customWidth="1"/>
    <col min="9734" max="9734" width="12.85546875" customWidth="1"/>
    <col min="9735" max="9735" width="15.5703125" customWidth="1"/>
    <col min="9985" max="9985" width="7.28515625" customWidth="1"/>
    <col min="9986" max="9986" width="17.28515625" customWidth="1"/>
    <col min="9987" max="9987" width="13.7109375" customWidth="1"/>
    <col min="9988" max="9988" width="13.5703125" customWidth="1"/>
    <col min="9989" max="9989" width="11.85546875" customWidth="1"/>
    <col min="9990" max="9990" width="12.85546875" customWidth="1"/>
    <col min="9991" max="9991" width="15.5703125" customWidth="1"/>
    <col min="10241" max="10241" width="7.28515625" customWidth="1"/>
    <col min="10242" max="10242" width="17.28515625" customWidth="1"/>
    <col min="10243" max="10243" width="13.7109375" customWidth="1"/>
    <col min="10244" max="10244" width="13.5703125" customWidth="1"/>
    <col min="10245" max="10245" width="11.85546875" customWidth="1"/>
    <col min="10246" max="10246" width="12.85546875" customWidth="1"/>
    <col min="10247" max="10247" width="15.5703125" customWidth="1"/>
    <col min="10497" max="10497" width="7.28515625" customWidth="1"/>
    <col min="10498" max="10498" width="17.28515625" customWidth="1"/>
    <col min="10499" max="10499" width="13.7109375" customWidth="1"/>
    <col min="10500" max="10500" width="13.5703125" customWidth="1"/>
    <col min="10501" max="10501" width="11.85546875" customWidth="1"/>
    <col min="10502" max="10502" width="12.85546875" customWidth="1"/>
    <col min="10503" max="10503" width="15.5703125" customWidth="1"/>
    <col min="10753" max="10753" width="7.28515625" customWidth="1"/>
    <col min="10754" max="10754" width="17.28515625" customWidth="1"/>
    <col min="10755" max="10755" width="13.7109375" customWidth="1"/>
    <col min="10756" max="10756" width="13.5703125" customWidth="1"/>
    <col min="10757" max="10757" width="11.85546875" customWidth="1"/>
    <col min="10758" max="10758" width="12.85546875" customWidth="1"/>
    <col min="10759" max="10759" width="15.5703125" customWidth="1"/>
    <col min="11009" max="11009" width="7.28515625" customWidth="1"/>
    <col min="11010" max="11010" width="17.28515625" customWidth="1"/>
    <col min="11011" max="11011" width="13.7109375" customWidth="1"/>
    <col min="11012" max="11012" width="13.5703125" customWidth="1"/>
    <col min="11013" max="11013" width="11.85546875" customWidth="1"/>
    <col min="11014" max="11014" width="12.85546875" customWidth="1"/>
    <col min="11015" max="11015" width="15.5703125" customWidth="1"/>
    <col min="11265" max="11265" width="7.28515625" customWidth="1"/>
    <col min="11266" max="11266" width="17.28515625" customWidth="1"/>
    <col min="11267" max="11267" width="13.7109375" customWidth="1"/>
    <col min="11268" max="11268" width="13.5703125" customWidth="1"/>
    <col min="11269" max="11269" width="11.85546875" customWidth="1"/>
    <col min="11270" max="11270" width="12.85546875" customWidth="1"/>
    <col min="11271" max="11271" width="15.5703125" customWidth="1"/>
    <col min="11521" max="11521" width="7.28515625" customWidth="1"/>
    <col min="11522" max="11522" width="17.28515625" customWidth="1"/>
    <col min="11523" max="11523" width="13.7109375" customWidth="1"/>
    <col min="11524" max="11524" width="13.5703125" customWidth="1"/>
    <col min="11525" max="11525" width="11.85546875" customWidth="1"/>
    <col min="11526" max="11526" width="12.85546875" customWidth="1"/>
    <col min="11527" max="11527" width="15.5703125" customWidth="1"/>
    <col min="11777" max="11777" width="7.28515625" customWidth="1"/>
    <col min="11778" max="11778" width="17.28515625" customWidth="1"/>
    <col min="11779" max="11779" width="13.7109375" customWidth="1"/>
    <col min="11780" max="11780" width="13.5703125" customWidth="1"/>
    <col min="11781" max="11781" width="11.85546875" customWidth="1"/>
    <col min="11782" max="11782" width="12.85546875" customWidth="1"/>
    <col min="11783" max="11783" width="15.5703125" customWidth="1"/>
    <col min="12033" max="12033" width="7.28515625" customWidth="1"/>
    <col min="12034" max="12034" width="17.28515625" customWidth="1"/>
    <col min="12035" max="12035" width="13.7109375" customWidth="1"/>
    <col min="12036" max="12036" width="13.5703125" customWidth="1"/>
    <col min="12037" max="12037" width="11.85546875" customWidth="1"/>
    <col min="12038" max="12038" width="12.85546875" customWidth="1"/>
    <col min="12039" max="12039" width="15.5703125" customWidth="1"/>
    <col min="12289" max="12289" width="7.28515625" customWidth="1"/>
    <col min="12290" max="12290" width="17.28515625" customWidth="1"/>
    <col min="12291" max="12291" width="13.7109375" customWidth="1"/>
    <col min="12292" max="12292" width="13.5703125" customWidth="1"/>
    <col min="12293" max="12293" width="11.85546875" customWidth="1"/>
    <col min="12294" max="12294" width="12.85546875" customWidth="1"/>
    <col min="12295" max="12295" width="15.5703125" customWidth="1"/>
    <col min="12545" max="12545" width="7.28515625" customWidth="1"/>
    <col min="12546" max="12546" width="17.28515625" customWidth="1"/>
    <col min="12547" max="12547" width="13.7109375" customWidth="1"/>
    <col min="12548" max="12548" width="13.5703125" customWidth="1"/>
    <col min="12549" max="12549" width="11.85546875" customWidth="1"/>
    <col min="12550" max="12550" width="12.85546875" customWidth="1"/>
    <col min="12551" max="12551" width="15.5703125" customWidth="1"/>
    <col min="12801" max="12801" width="7.28515625" customWidth="1"/>
    <col min="12802" max="12802" width="17.28515625" customWidth="1"/>
    <col min="12803" max="12803" width="13.7109375" customWidth="1"/>
    <col min="12804" max="12804" width="13.5703125" customWidth="1"/>
    <col min="12805" max="12805" width="11.85546875" customWidth="1"/>
    <col min="12806" max="12806" width="12.85546875" customWidth="1"/>
    <col min="12807" max="12807" width="15.5703125" customWidth="1"/>
    <col min="13057" max="13057" width="7.28515625" customWidth="1"/>
    <col min="13058" max="13058" width="17.28515625" customWidth="1"/>
    <col min="13059" max="13059" width="13.7109375" customWidth="1"/>
    <col min="13060" max="13060" width="13.5703125" customWidth="1"/>
    <col min="13061" max="13061" width="11.85546875" customWidth="1"/>
    <col min="13062" max="13062" width="12.85546875" customWidth="1"/>
    <col min="13063" max="13063" width="15.5703125" customWidth="1"/>
    <col min="13313" max="13313" width="7.28515625" customWidth="1"/>
    <col min="13314" max="13314" width="17.28515625" customWidth="1"/>
    <col min="13315" max="13315" width="13.7109375" customWidth="1"/>
    <col min="13316" max="13316" width="13.5703125" customWidth="1"/>
    <col min="13317" max="13317" width="11.85546875" customWidth="1"/>
    <col min="13318" max="13318" width="12.85546875" customWidth="1"/>
    <col min="13319" max="13319" width="15.5703125" customWidth="1"/>
    <col min="13569" max="13569" width="7.28515625" customWidth="1"/>
    <col min="13570" max="13570" width="17.28515625" customWidth="1"/>
    <col min="13571" max="13571" width="13.7109375" customWidth="1"/>
    <col min="13572" max="13572" width="13.5703125" customWidth="1"/>
    <col min="13573" max="13573" width="11.85546875" customWidth="1"/>
    <col min="13574" max="13574" width="12.85546875" customWidth="1"/>
    <col min="13575" max="13575" width="15.5703125" customWidth="1"/>
    <col min="13825" max="13825" width="7.28515625" customWidth="1"/>
    <col min="13826" max="13826" width="17.28515625" customWidth="1"/>
    <col min="13827" max="13827" width="13.7109375" customWidth="1"/>
    <col min="13828" max="13828" width="13.5703125" customWidth="1"/>
    <col min="13829" max="13829" width="11.85546875" customWidth="1"/>
    <col min="13830" max="13830" width="12.85546875" customWidth="1"/>
    <col min="13831" max="13831" width="15.5703125" customWidth="1"/>
    <col min="14081" max="14081" width="7.28515625" customWidth="1"/>
    <col min="14082" max="14082" width="17.28515625" customWidth="1"/>
    <col min="14083" max="14083" width="13.7109375" customWidth="1"/>
    <col min="14084" max="14084" width="13.5703125" customWidth="1"/>
    <col min="14085" max="14085" width="11.85546875" customWidth="1"/>
    <col min="14086" max="14086" width="12.85546875" customWidth="1"/>
    <col min="14087" max="14087" width="15.5703125" customWidth="1"/>
    <col min="14337" max="14337" width="7.28515625" customWidth="1"/>
    <col min="14338" max="14338" width="17.28515625" customWidth="1"/>
    <col min="14339" max="14339" width="13.7109375" customWidth="1"/>
    <col min="14340" max="14340" width="13.5703125" customWidth="1"/>
    <col min="14341" max="14341" width="11.85546875" customWidth="1"/>
    <col min="14342" max="14342" width="12.85546875" customWidth="1"/>
    <col min="14343" max="14343" width="15.5703125" customWidth="1"/>
    <col min="14593" max="14593" width="7.28515625" customWidth="1"/>
    <col min="14594" max="14594" width="17.28515625" customWidth="1"/>
    <col min="14595" max="14595" width="13.7109375" customWidth="1"/>
    <col min="14596" max="14596" width="13.5703125" customWidth="1"/>
    <col min="14597" max="14597" width="11.85546875" customWidth="1"/>
    <col min="14598" max="14598" width="12.85546875" customWidth="1"/>
    <col min="14599" max="14599" width="15.5703125" customWidth="1"/>
    <col min="14849" max="14849" width="7.28515625" customWidth="1"/>
    <col min="14850" max="14850" width="17.28515625" customWidth="1"/>
    <col min="14851" max="14851" width="13.7109375" customWidth="1"/>
    <col min="14852" max="14852" width="13.5703125" customWidth="1"/>
    <col min="14853" max="14853" width="11.85546875" customWidth="1"/>
    <col min="14854" max="14854" width="12.85546875" customWidth="1"/>
    <col min="14855" max="14855" width="15.5703125" customWidth="1"/>
    <col min="15105" max="15105" width="7.28515625" customWidth="1"/>
    <col min="15106" max="15106" width="17.28515625" customWidth="1"/>
    <col min="15107" max="15107" width="13.7109375" customWidth="1"/>
    <col min="15108" max="15108" width="13.5703125" customWidth="1"/>
    <col min="15109" max="15109" width="11.85546875" customWidth="1"/>
    <col min="15110" max="15110" width="12.85546875" customWidth="1"/>
    <col min="15111" max="15111" width="15.5703125" customWidth="1"/>
    <col min="15361" max="15361" width="7.28515625" customWidth="1"/>
    <col min="15362" max="15362" width="17.28515625" customWidth="1"/>
    <col min="15363" max="15363" width="13.7109375" customWidth="1"/>
    <col min="15364" max="15364" width="13.5703125" customWidth="1"/>
    <col min="15365" max="15365" width="11.85546875" customWidth="1"/>
    <col min="15366" max="15366" width="12.85546875" customWidth="1"/>
    <col min="15367" max="15367" width="15.5703125" customWidth="1"/>
    <col min="15617" max="15617" width="7.28515625" customWidth="1"/>
    <col min="15618" max="15618" width="17.28515625" customWidth="1"/>
    <col min="15619" max="15619" width="13.7109375" customWidth="1"/>
    <col min="15620" max="15620" width="13.5703125" customWidth="1"/>
    <col min="15621" max="15621" width="11.85546875" customWidth="1"/>
    <col min="15622" max="15622" width="12.85546875" customWidth="1"/>
    <col min="15623" max="15623" width="15.5703125" customWidth="1"/>
    <col min="15873" max="15873" width="7.28515625" customWidth="1"/>
    <col min="15874" max="15874" width="17.28515625" customWidth="1"/>
    <col min="15875" max="15875" width="13.7109375" customWidth="1"/>
    <col min="15876" max="15876" width="13.5703125" customWidth="1"/>
    <col min="15877" max="15877" width="11.85546875" customWidth="1"/>
    <col min="15878" max="15878" width="12.85546875" customWidth="1"/>
    <col min="15879" max="15879" width="15.5703125" customWidth="1"/>
    <col min="16129" max="16129" width="7.28515625" customWidth="1"/>
    <col min="16130" max="16130" width="17.28515625" customWidth="1"/>
    <col min="16131" max="16131" width="13.7109375" customWidth="1"/>
    <col min="16132" max="16132" width="13.5703125" customWidth="1"/>
    <col min="16133" max="16133" width="11.85546875" customWidth="1"/>
    <col min="16134" max="16134" width="12.85546875" customWidth="1"/>
    <col min="16135" max="16135" width="15.5703125" customWidth="1"/>
  </cols>
  <sheetData>
    <row r="1" spans="1:8" x14ac:dyDescent="0.25">
      <c r="B1" s="465" t="s">
        <v>645</v>
      </c>
      <c r="C1" s="465"/>
      <c r="D1" s="465"/>
      <c r="E1" s="465"/>
      <c r="F1" s="465"/>
      <c r="G1" s="430"/>
    </row>
    <row r="2" spans="1:8" x14ac:dyDescent="0.25">
      <c r="B2" s="465" t="s">
        <v>646</v>
      </c>
      <c r="C2" s="465" t="s">
        <v>714</v>
      </c>
      <c r="D2" s="465"/>
      <c r="E2" s="466" t="s">
        <v>715</v>
      </c>
      <c r="F2" s="465"/>
      <c r="G2" s="430"/>
    </row>
    <row r="3" spans="1:8" x14ac:dyDescent="0.25">
      <c r="B3" s="465" t="s">
        <v>647</v>
      </c>
      <c r="C3" s="465" t="s">
        <v>648</v>
      </c>
      <c r="D3" s="465"/>
      <c r="E3" s="465"/>
      <c r="F3" s="465"/>
      <c r="G3" s="430"/>
    </row>
    <row r="4" spans="1:8" x14ac:dyDescent="0.25">
      <c r="B4" s="465" t="s">
        <v>649</v>
      </c>
      <c r="C4" s="467">
        <v>64</v>
      </c>
      <c r="D4" s="465"/>
      <c r="E4" s="465"/>
      <c r="F4" s="465"/>
      <c r="G4" s="430"/>
    </row>
    <row r="5" spans="1:8" x14ac:dyDescent="0.25">
      <c r="B5" s="393"/>
      <c r="C5" s="393"/>
      <c r="D5" s="393"/>
      <c r="E5" s="393"/>
      <c r="F5" s="393"/>
    </row>
    <row r="6" spans="1:8" ht="66" x14ac:dyDescent="0.3">
      <c r="B6" s="301"/>
      <c r="C6" s="468" t="s">
        <v>651</v>
      </c>
      <c r="D6" s="469" t="s">
        <v>653</v>
      </c>
      <c r="E6" s="469" t="s">
        <v>654</v>
      </c>
      <c r="F6" s="469" t="s">
        <v>655</v>
      </c>
      <c r="G6" s="470" t="s">
        <v>656</v>
      </c>
    </row>
    <row r="7" spans="1:8" ht="16.5" x14ac:dyDescent="0.3">
      <c r="B7" s="471" t="s">
        <v>663</v>
      </c>
      <c r="C7" s="472" t="s">
        <v>664</v>
      </c>
      <c r="D7" s="473">
        <f>MAX(D$15:D$29)</f>
        <v>506</v>
      </c>
      <c r="E7" s="473">
        <f>MAX(E$15:E$29)</f>
        <v>772.5</v>
      </c>
      <c r="F7" s="473">
        <f>MAX(F$15:F$29)</f>
        <v>927</v>
      </c>
      <c r="G7" s="473">
        <f>MAX(G$15:G$29)</f>
        <v>82874200</v>
      </c>
    </row>
    <row r="8" spans="1:8" ht="16.5" x14ac:dyDescent="0.3">
      <c r="B8" s="471" t="s">
        <v>246</v>
      </c>
      <c r="C8" s="472" t="s">
        <v>664</v>
      </c>
      <c r="D8" s="473">
        <f>AVERAGE(D$15:D$29)</f>
        <v>243.53333333333333</v>
      </c>
      <c r="E8" s="473">
        <f>AVERAGE(E$15:E$29)</f>
        <v>343.23333333333335</v>
      </c>
      <c r="F8" s="473">
        <f>AVERAGE(F$15:F$29)</f>
        <v>419.88000000000005</v>
      </c>
      <c r="G8" s="473">
        <f>AVERAGE(G$15:G$29)</f>
        <v>49173393.333333336</v>
      </c>
    </row>
    <row r="9" spans="1:8" ht="16.5" x14ac:dyDescent="0.3">
      <c r="B9" s="471" t="s">
        <v>665</v>
      </c>
      <c r="C9" s="472" t="s">
        <v>664</v>
      </c>
      <c r="D9" s="473">
        <f>MIN(D$15:D$29)</f>
        <v>130</v>
      </c>
      <c r="E9" s="473">
        <f>MIN(E$15:E$29)</f>
        <v>102.5</v>
      </c>
      <c r="F9" s="473">
        <f>MIN(F$15:F$29)</f>
        <v>123</v>
      </c>
      <c r="G9" s="473">
        <f>MIN(G$15:G$29)</f>
        <v>18639200</v>
      </c>
    </row>
    <row r="10" spans="1:8" ht="16.5" x14ac:dyDescent="0.3">
      <c r="B10" s="474" t="s">
        <v>666</v>
      </c>
      <c r="C10" s="472">
        <f>15</f>
        <v>15</v>
      </c>
      <c r="D10" s="475">
        <f>SUM(D15:D29)</f>
        <v>3653</v>
      </c>
      <c r="E10" s="475">
        <f>SUM(E15:E29)</f>
        <v>5148.5</v>
      </c>
      <c r="F10" s="475">
        <f>SUM(F15:F29)</f>
        <v>6298.2000000000007</v>
      </c>
      <c r="G10" s="475">
        <f>SUM(G15:G29)</f>
        <v>737600900</v>
      </c>
    </row>
    <row r="11" spans="1:8" ht="16.5" x14ac:dyDescent="0.3">
      <c r="B11" s="474" t="s">
        <v>667</v>
      </c>
      <c r="C11" s="472">
        <f>+C4</f>
        <v>64</v>
      </c>
      <c r="D11" s="475">
        <v>13045</v>
      </c>
      <c r="E11" s="475">
        <v>17606</v>
      </c>
      <c r="F11" s="475">
        <v>19000</v>
      </c>
      <c r="G11" s="475">
        <v>2326149500</v>
      </c>
    </row>
    <row r="12" spans="1:8" x14ac:dyDescent="0.25">
      <c r="B12" s="476" t="s">
        <v>668</v>
      </c>
      <c r="C12" s="477">
        <f>C10/C11</f>
        <v>0.234375</v>
      </c>
      <c r="D12" s="477">
        <f>D10/D11</f>
        <v>0.28003066308930624</v>
      </c>
      <c r="E12" s="477">
        <f t="shared" ref="E12:G12" si="0">E10/E11</f>
        <v>0.29242871748267635</v>
      </c>
      <c r="F12" s="477">
        <f t="shared" si="0"/>
        <v>0.33148421052631583</v>
      </c>
      <c r="G12" s="477">
        <f t="shared" si="0"/>
        <v>0.31709092644303388</v>
      </c>
      <c r="H12" t="s">
        <v>166</v>
      </c>
    </row>
    <row r="13" spans="1:8" x14ac:dyDescent="0.25">
      <c r="C13" s="394"/>
      <c r="D13" s="394"/>
      <c r="E13" s="395"/>
      <c r="F13" s="394"/>
    </row>
    <row r="14" spans="1:8" ht="51.75" thickBot="1" x14ac:dyDescent="0.3">
      <c r="A14" s="478" t="s">
        <v>650</v>
      </c>
      <c r="B14" s="479" t="s">
        <v>651</v>
      </c>
      <c r="C14" s="480" t="s">
        <v>652</v>
      </c>
      <c r="D14" s="481" t="s">
        <v>653</v>
      </c>
      <c r="E14" s="481" t="s">
        <v>654</v>
      </c>
      <c r="F14" s="481" t="s">
        <v>655</v>
      </c>
      <c r="G14" s="482" t="s">
        <v>656</v>
      </c>
    </row>
    <row r="15" spans="1:8" ht="15.75" thickBot="1" x14ac:dyDescent="0.3">
      <c r="A15" s="483">
        <v>1</v>
      </c>
      <c r="B15" s="484" t="s">
        <v>718</v>
      </c>
      <c r="C15" s="485">
        <v>124</v>
      </c>
      <c r="D15" s="485">
        <v>165</v>
      </c>
      <c r="E15" s="485">
        <v>318.5</v>
      </c>
      <c r="F15" s="485">
        <v>382.2</v>
      </c>
      <c r="G15" s="486">
        <v>56178500</v>
      </c>
    </row>
    <row r="16" spans="1:8" ht="15.75" thickBot="1" x14ac:dyDescent="0.3">
      <c r="A16" s="483">
        <v>2</v>
      </c>
      <c r="B16" s="487" t="s">
        <v>719</v>
      </c>
      <c r="C16" s="488">
        <v>406</v>
      </c>
      <c r="D16" s="488">
        <v>506</v>
      </c>
      <c r="E16" s="488">
        <v>391.5</v>
      </c>
      <c r="F16" s="488">
        <v>469.8</v>
      </c>
      <c r="G16" s="486">
        <v>73662300</v>
      </c>
    </row>
    <row r="17" spans="1:7" ht="15.75" thickBot="1" x14ac:dyDescent="0.3">
      <c r="A17" s="483">
        <v>3</v>
      </c>
      <c r="B17" s="487" t="s">
        <v>720</v>
      </c>
      <c r="C17" s="488">
        <v>208</v>
      </c>
      <c r="D17" s="488">
        <v>175</v>
      </c>
      <c r="E17" s="488">
        <v>517.5</v>
      </c>
      <c r="F17" s="488">
        <v>621</v>
      </c>
      <c r="G17" s="486">
        <v>50435700</v>
      </c>
    </row>
    <row r="18" spans="1:7" ht="15.75" thickBot="1" x14ac:dyDescent="0.3">
      <c r="A18" s="483">
        <v>4</v>
      </c>
      <c r="B18" s="487" t="s">
        <v>721</v>
      </c>
      <c r="C18" s="488">
        <v>227</v>
      </c>
      <c r="D18" s="488">
        <v>239</v>
      </c>
      <c r="E18" s="488">
        <v>408.5</v>
      </c>
      <c r="F18" s="488">
        <v>490.2</v>
      </c>
      <c r="G18" s="486">
        <v>38906500</v>
      </c>
    </row>
    <row r="19" spans="1:7" ht="15.75" thickBot="1" x14ac:dyDescent="0.3">
      <c r="A19" s="483">
        <v>5</v>
      </c>
      <c r="B19" s="487" t="s">
        <v>722</v>
      </c>
      <c r="C19" s="488">
        <v>261</v>
      </c>
      <c r="D19" s="488">
        <v>249</v>
      </c>
      <c r="E19" s="488">
        <v>295</v>
      </c>
      <c r="F19" s="488">
        <v>354</v>
      </c>
      <c r="G19" s="486">
        <v>43561000</v>
      </c>
    </row>
    <row r="20" spans="1:7" ht="15.75" thickBot="1" x14ac:dyDescent="0.3">
      <c r="A20" s="483">
        <v>6</v>
      </c>
      <c r="B20" s="487" t="s">
        <v>723</v>
      </c>
      <c r="C20" s="488">
        <v>241</v>
      </c>
      <c r="D20" s="488">
        <v>265</v>
      </c>
      <c r="E20" s="488">
        <v>772.5</v>
      </c>
      <c r="F20" s="488">
        <v>927</v>
      </c>
      <c r="G20" s="486">
        <v>72777800</v>
      </c>
    </row>
    <row r="21" spans="1:7" ht="15.75" thickBot="1" x14ac:dyDescent="0.3">
      <c r="A21" s="483">
        <v>7</v>
      </c>
      <c r="B21" s="487" t="s">
        <v>724</v>
      </c>
      <c r="C21" s="488">
        <v>91</v>
      </c>
      <c r="D21" s="488">
        <v>130</v>
      </c>
      <c r="E21" s="488">
        <v>260</v>
      </c>
      <c r="F21" s="488">
        <v>432</v>
      </c>
      <c r="G21" s="486">
        <v>34365600</v>
      </c>
    </row>
    <row r="22" spans="1:7" ht="15.75" thickBot="1" x14ac:dyDescent="0.3">
      <c r="A22" s="483">
        <v>8</v>
      </c>
      <c r="B22" s="487" t="s">
        <v>725</v>
      </c>
      <c r="C22" s="488">
        <v>159</v>
      </c>
      <c r="D22" s="488">
        <v>174</v>
      </c>
      <c r="E22" s="488">
        <v>161.5</v>
      </c>
      <c r="F22" s="488">
        <v>193.8</v>
      </c>
      <c r="G22" s="486">
        <v>18639200</v>
      </c>
    </row>
    <row r="23" spans="1:7" ht="15.75" thickBot="1" x14ac:dyDescent="0.3">
      <c r="A23" s="483">
        <v>9</v>
      </c>
      <c r="B23" s="487" t="s">
        <v>726</v>
      </c>
      <c r="C23" s="488">
        <v>754</v>
      </c>
      <c r="D23" s="488">
        <v>410</v>
      </c>
      <c r="E23" s="488">
        <v>378</v>
      </c>
      <c r="F23" s="488">
        <v>453.6</v>
      </c>
      <c r="G23" s="486">
        <v>82874200</v>
      </c>
    </row>
    <row r="24" spans="1:7" ht="15.75" thickBot="1" x14ac:dyDescent="0.3">
      <c r="A24" s="483">
        <v>10</v>
      </c>
      <c r="B24" s="487" t="s">
        <v>727</v>
      </c>
      <c r="C24" s="488">
        <v>296</v>
      </c>
      <c r="D24" s="488">
        <v>287</v>
      </c>
      <c r="E24" s="488">
        <v>523</v>
      </c>
      <c r="F24" s="488">
        <v>627.6</v>
      </c>
      <c r="G24" s="486">
        <v>80216000</v>
      </c>
    </row>
    <row r="25" spans="1:7" ht="15.75" thickBot="1" x14ac:dyDescent="0.3">
      <c r="A25" s="483">
        <v>11</v>
      </c>
      <c r="B25" s="487" t="s">
        <v>728</v>
      </c>
      <c r="C25" s="488">
        <v>285</v>
      </c>
      <c r="D25" s="488">
        <v>208</v>
      </c>
      <c r="E25" s="488">
        <v>226.5</v>
      </c>
      <c r="F25" s="488">
        <v>271.8</v>
      </c>
      <c r="G25" s="486">
        <v>45631700</v>
      </c>
    </row>
    <row r="26" spans="1:7" ht="15.75" thickBot="1" x14ac:dyDescent="0.3">
      <c r="A26" s="483">
        <v>12</v>
      </c>
      <c r="B26" s="487" t="s">
        <v>729</v>
      </c>
      <c r="C26" s="488">
        <v>237</v>
      </c>
      <c r="D26" s="488">
        <v>223</v>
      </c>
      <c r="E26" s="488">
        <v>271.5</v>
      </c>
      <c r="F26" s="488">
        <v>325.8</v>
      </c>
      <c r="G26" s="486">
        <v>32810100</v>
      </c>
    </row>
    <row r="27" spans="1:7" ht="15.75" thickBot="1" x14ac:dyDescent="0.3">
      <c r="A27" s="483">
        <v>13</v>
      </c>
      <c r="B27" s="487" t="s">
        <v>730</v>
      </c>
      <c r="C27" s="488">
        <v>243</v>
      </c>
      <c r="D27" s="488">
        <v>215</v>
      </c>
      <c r="E27" s="488">
        <v>255</v>
      </c>
      <c r="F27" s="488">
        <v>306</v>
      </c>
      <c r="G27" s="486">
        <v>51961300</v>
      </c>
    </row>
    <row r="28" spans="1:7" ht="18.95" customHeight="1" thickBot="1" x14ac:dyDescent="0.3">
      <c r="A28" s="483">
        <v>14</v>
      </c>
      <c r="B28" s="487" t="s">
        <v>731</v>
      </c>
      <c r="C28" s="488">
        <v>207</v>
      </c>
      <c r="D28" s="488">
        <v>252</v>
      </c>
      <c r="E28" s="488">
        <v>267</v>
      </c>
      <c r="F28" s="488">
        <v>320.39999999999998</v>
      </c>
      <c r="G28" s="486">
        <v>34611000</v>
      </c>
    </row>
    <row r="29" spans="1:7" ht="15.75" thickBot="1" x14ac:dyDescent="0.3">
      <c r="A29" s="483">
        <v>15</v>
      </c>
      <c r="B29" s="487" t="s">
        <v>732</v>
      </c>
      <c r="C29" s="489">
        <v>148</v>
      </c>
      <c r="D29" s="489">
        <v>155</v>
      </c>
      <c r="E29" s="489">
        <v>102.5</v>
      </c>
      <c r="F29" s="489">
        <v>123</v>
      </c>
      <c r="G29" s="486">
        <v>20970000</v>
      </c>
    </row>
    <row r="30" spans="1:7" x14ac:dyDescent="0.25">
      <c r="A30" s="490"/>
      <c r="B30" s="491" t="s">
        <v>657</v>
      </c>
      <c r="C30" s="492">
        <f>SUM(C15:C29)</f>
        <v>3887</v>
      </c>
      <c r="D30" s="492">
        <f>SUM(D15:D29)</f>
        <v>3653</v>
      </c>
      <c r="E30" s="493">
        <f>SUM(E15:E29)</f>
        <v>5148.5</v>
      </c>
      <c r="F30" s="493">
        <f>SUM(F15:F29)</f>
        <v>6298.2000000000007</v>
      </c>
      <c r="G30" s="494">
        <f>SUM(G15:G29)</f>
        <v>737600900</v>
      </c>
    </row>
    <row r="32" spans="1:7" x14ac:dyDescent="0.25">
      <c r="B32" s="495" t="s">
        <v>658</v>
      </c>
      <c r="C32" s="496"/>
      <c r="D32" s="496"/>
      <c r="E32" s="497"/>
      <c r="F32" s="496"/>
    </row>
    <row r="33" spans="2:6" x14ac:dyDescent="0.25">
      <c r="B33" s="495" t="s">
        <v>659</v>
      </c>
      <c r="C33" s="496"/>
      <c r="D33" s="496"/>
      <c r="E33" s="496"/>
      <c r="F33" s="496"/>
    </row>
    <row r="34" spans="2:6" x14ac:dyDescent="0.25">
      <c r="B34" s="498" t="s">
        <v>660</v>
      </c>
      <c r="C34" s="496"/>
      <c r="D34" s="496"/>
      <c r="E34" s="496"/>
      <c r="F34" s="496"/>
    </row>
    <row r="35" spans="2:6" x14ac:dyDescent="0.25">
      <c r="B35" s="495" t="s">
        <v>661</v>
      </c>
      <c r="C35" s="496"/>
      <c r="D35" s="496"/>
      <c r="E35" s="496"/>
      <c r="F35" s="496"/>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6"/>
  <sheetViews>
    <sheetView view="pageBreakPreview" topLeftCell="FA2" zoomScale="70" zoomScaleNormal="85" zoomScaleSheetLayoutView="70" workbookViewId="0">
      <pane ySplit="10" topLeftCell="A12" activePane="bottomLeft" state="frozen"/>
      <selection activeCell="AJ2" sqref="AJ2"/>
      <selection pane="bottomLeft" activeCell="DT3" sqref="DT3"/>
    </sheetView>
  </sheetViews>
  <sheetFormatPr baseColWidth="10" defaultRowHeight="15.75" x14ac:dyDescent="0.25"/>
  <cols>
    <col min="1" max="1" width="9.85546875" style="245" customWidth="1"/>
    <col min="2" max="2" width="23.28515625" style="8" bestFit="1" customWidth="1"/>
    <col min="3" max="4" width="11" style="8" customWidth="1"/>
    <col min="5" max="6" width="11" style="374" customWidth="1"/>
    <col min="7" max="22" width="11" style="8" customWidth="1"/>
    <col min="23" max="23" width="10.140625" style="245" customWidth="1"/>
    <col min="24" max="24" width="23.28515625" style="245" bestFit="1" customWidth="1"/>
    <col min="25" max="25" width="11.5703125" style="245" customWidth="1"/>
    <col min="26" max="33" width="11.5703125" style="8" customWidth="1"/>
    <col min="34" max="34" width="5.7109375" style="245" customWidth="1"/>
    <col min="35" max="35" width="11.5703125" style="245" customWidth="1"/>
    <col min="36" max="36" width="23.28515625" style="245" bestFit="1" customWidth="1"/>
    <col min="37" max="49" width="11.85546875" style="8" customWidth="1"/>
    <col min="50" max="50" width="11.85546875" style="245" customWidth="1"/>
    <col min="51" max="51" width="9.7109375" style="245" customWidth="1"/>
    <col min="52" max="52" width="23.28515625" style="245" bestFit="1" customWidth="1"/>
    <col min="53" max="68" width="11.7109375" style="8" customWidth="1"/>
    <col min="69" max="69" width="4.42578125" style="5" customWidth="1"/>
    <col min="70" max="70" width="8.7109375" style="5" customWidth="1"/>
    <col min="71" max="71" width="23.28515625" style="245" bestFit="1" customWidth="1"/>
    <col min="72" max="72" width="11.28515625" style="8" customWidth="1"/>
    <col min="73" max="73" width="11.28515625" style="267" customWidth="1"/>
    <col min="74" max="84" width="11.28515625" style="8" customWidth="1"/>
    <col min="85" max="85" width="5.28515625" style="245" customWidth="1"/>
    <col min="86" max="86" width="9.5703125" style="245" customWidth="1"/>
    <col min="87" max="87" width="23.28515625" style="8" bestFit="1" customWidth="1"/>
    <col min="88" max="93" width="15.42578125" style="8" customWidth="1"/>
    <col min="94" max="94" width="15.42578125" style="245" customWidth="1"/>
    <col min="95" max="95" width="6.7109375" style="5" customWidth="1"/>
    <col min="96" max="96" width="9" style="245" customWidth="1"/>
    <col min="97" max="97" width="23.28515625" style="245" bestFit="1" customWidth="1"/>
    <col min="98" max="114" width="11.140625" style="245" customWidth="1"/>
    <col min="115" max="115" width="6.7109375" style="245" customWidth="1"/>
    <col min="116" max="116" width="10.7109375" style="5" customWidth="1"/>
    <col min="117" max="117" width="23.28515625" style="5" bestFit="1" customWidth="1"/>
    <col min="118" max="123" width="13.7109375" style="8" customWidth="1"/>
    <col min="124" max="124" width="16.7109375" style="8" bestFit="1" customWidth="1"/>
    <col min="125" max="127" width="13.7109375" style="8" customWidth="1"/>
    <col min="128" max="128" width="13.7109375" style="267" customWidth="1"/>
    <col min="129" max="129" width="13.7109375" style="8" customWidth="1"/>
    <col min="130" max="130" width="5" style="245" customWidth="1"/>
    <col min="131" max="131" width="9.28515625" style="245" customWidth="1"/>
    <col min="132" max="132" width="23.28515625" style="8" bestFit="1" customWidth="1"/>
    <col min="133" max="135" width="11.28515625" style="8" bestFit="1" customWidth="1"/>
    <col min="136" max="136" width="3" style="245" customWidth="1"/>
    <col min="137" max="137" width="8.42578125" style="8" customWidth="1"/>
    <col min="138" max="138" width="23.28515625" style="8" bestFit="1" customWidth="1"/>
    <col min="139" max="142" width="11.85546875" style="8" customWidth="1"/>
    <col min="143" max="144" width="13.5703125" style="8" bestFit="1" customWidth="1"/>
    <col min="145" max="152" width="11.85546875" style="8" customWidth="1"/>
    <col min="153" max="153" width="14.28515625" style="8" bestFit="1" customWidth="1"/>
    <col min="154" max="154" width="14.28515625" style="267" customWidth="1"/>
    <col min="155" max="155" width="11.28515625" style="290" customWidth="1"/>
    <col min="156" max="156" width="10.7109375" style="245" customWidth="1"/>
    <col min="157" max="157" width="23.28515625" style="8" bestFit="1" customWidth="1"/>
    <col min="158" max="166" width="11.28515625" style="8" customWidth="1"/>
    <col min="167" max="167" width="11.28515625" style="245" customWidth="1"/>
    <col min="168" max="168" width="23.28515625" style="8" bestFit="1" customWidth="1"/>
    <col min="169" max="173" width="11.28515625" style="8" customWidth="1"/>
    <col min="174" max="268" width="11.5703125" style="8"/>
    <col min="269" max="269" width="9.85546875" style="8" customWidth="1"/>
    <col min="270" max="270" width="23.28515625" style="8" bestFit="1" customWidth="1"/>
    <col min="271" max="288" width="11" style="8" customWidth="1"/>
    <col min="289" max="289" width="10.140625" style="8" customWidth="1"/>
    <col min="290" max="290" width="23.28515625" style="8" bestFit="1" customWidth="1"/>
    <col min="291" max="299" width="11.5703125" style="8" customWidth="1"/>
    <col min="300" max="300" width="5.7109375" style="8" customWidth="1"/>
    <col min="301" max="301" width="11.5703125" style="8" customWidth="1"/>
    <col min="302" max="302" width="23.28515625" style="8" bestFit="1" customWidth="1"/>
    <col min="303" max="316" width="11.85546875" style="8" customWidth="1"/>
    <col min="317" max="317" width="9.7109375" style="8" customWidth="1"/>
    <col min="318" max="318" width="23.28515625" style="8" bestFit="1" customWidth="1"/>
    <col min="319" max="334" width="11.7109375" style="8" customWidth="1"/>
    <col min="335" max="335" width="4.42578125" style="8" customWidth="1"/>
    <col min="336" max="336" width="8.7109375" style="8" customWidth="1"/>
    <col min="337" max="337" width="23.28515625" style="8" bestFit="1" customWidth="1"/>
    <col min="338" max="349" width="11.28515625" style="8" customWidth="1"/>
    <col min="350" max="350" width="5.28515625" style="8" customWidth="1"/>
    <col min="351" max="351" width="9.5703125" style="8" customWidth="1"/>
    <col min="352" max="352" width="23.28515625" style="8" bestFit="1" customWidth="1"/>
    <col min="353" max="359" width="15.42578125" style="8" customWidth="1"/>
    <col min="360" max="360" width="6.7109375" style="8" customWidth="1"/>
    <col min="361" max="361" width="9" style="8" customWidth="1"/>
    <col min="362" max="362" width="23.28515625" style="8" bestFit="1" customWidth="1"/>
    <col min="363" max="372" width="11.140625" style="8" customWidth="1"/>
    <col min="373" max="373" width="6.7109375" style="8" customWidth="1"/>
    <col min="374" max="374" width="10.7109375" style="8" customWidth="1"/>
    <col min="375" max="375" width="23.28515625" style="8" bestFit="1" customWidth="1"/>
    <col min="376" max="386" width="13.7109375" style="8" customWidth="1"/>
    <col min="387" max="387" width="5" style="8" customWidth="1"/>
    <col min="388" max="388" width="9.28515625" style="8" customWidth="1"/>
    <col min="389" max="389" width="23.28515625" style="8" bestFit="1" customWidth="1"/>
    <col min="390" max="392" width="11.28515625" style="8" bestFit="1" customWidth="1"/>
    <col min="393" max="393" width="3" style="8" customWidth="1"/>
    <col min="394" max="394" width="8.42578125" style="8" customWidth="1"/>
    <col min="395" max="395" width="23.28515625" style="8" bestFit="1" customWidth="1"/>
    <col min="396" max="409" width="11.85546875" style="8" customWidth="1"/>
    <col min="410" max="410" width="14.28515625" style="8" bestFit="1" customWidth="1"/>
    <col min="411" max="411" width="4.28515625" style="8" customWidth="1"/>
    <col min="412" max="412" width="10.7109375" style="8" customWidth="1"/>
    <col min="413" max="413" width="23.28515625" style="8" bestFit="1" customWidth="1"/>
    <col min="414" max="423" width="11.28515625" style="8" customWidth="1"/>
    <col min="424" max="424" width="23.28515625" style="8" bestFit="1" customWidth="1"/>
    <col min="425" max="429" width="11.28515625" style="8" customWidth="1"/>
    <col min="430" max="524" width="11.5703125" style="8"/>
    <col min="525" max="525" width="9.85546875" style="8" customWidth="1"/>
    <col min="526" max="526" width="23.28515625" style="8" bestFit="1" customWidth="1"/>
    <col min="527" max="544" width="11" style="8" customWidth="1"/>
    <col min="545" max="545" width="10.140625" style="8" customWidth="1"/>
    <col min="546" max="546" width="23.28515625" style="8" bestFit="1" customWidth="1"/>
    <col min="547" max="555" width="11.5703125" style="8" customWidth="1"/>
    <col min="556" max="556" width="5.7109375" style="8" customWidth="1"/>
    <col min="557" max="557" width="11.5703125" style="8" customWidth="1"/>
    <col min="558" max="558" width="23.28515625" style="8" bestFit="1" customWidth="1"/>
    <col min="559" max="572" width="11.85546875" style="8" customWidth="1"/>
    <col min="573" max="573" width="9.7109375" style="8" customWidth="1"/>
    <col min="574" max="574" width="23.28515625" style="8" bestFit="1" customWidth="1"/>
    <col min="575" max="590" width="11.7109375" style="8" customWidth="1"/>
    <col min="591" max="591" width="4.42578125" style="8" customWidth="1"/>
    <col min="592" max="592" width="8.7109375" style="8" customWidth="1"/>
    <col min="593" max="593" width="23.28515625" style="8" bestFit="1" customWidth="1"/>
    <col min="594" max="605" width="11.28515625" style="8" customWidth="1"/>
    <col min="606" max="606" width="5.28515625" style="8" customWidth="1"/>
    <col min="607" max="607" width="9.5703125" style="8" customWidth="1"/>
    <col min="608" max="608" width="23.28515625" style="8" bestFit="1" customWidth="1"/>
    <col min="609" max="615" width="15.42578125" style="8" customWidth="1"/>
    <col min="616" max="616" width="6.7109375" style="8" customWidth="1"/>
    <col min="617" max="617" width="9" style="8" customWidth="1"/>
    <col min="618" max="618" width="23.28515625" style="8" bestFit="1" customWidth="1"/>
    <col min="619" max="628" width="11.140625" style="8" customWidth="1"/>
    <col min="629" max="629" width="6.7109375" style="8" customWidth="1"/>
    <col min="630" max="630" width="10.7109375" style="8" customWidth="1"/>
    <col min="631" max="631" width="23.28515625" style="8" bestFit="1" customWidth="1"/>
    <col min="632" max="642" width="13.7109375" style="8" customWidth="1"/>
    <col min="643" max="643" width="5" style="8" customWidth="1"/>
    <col min="644" max="644" width="9.28515625" style="8" customWidth="1"/>
    <col min="645" max="645" width="23.28515625" style="8" bestFit="1" customWidth="1"/>
    <col min="646" max="648" width="11.28515625" style="8" bestFit="1" customWidth="1"/>
    <col min="649" max="649" width="3" style="8" customWidth="1"/>
    <col min="650" max="650" width="8.42578125" style="8" customWidth="1"/>
    <col min="651" max="651" width="23.28515625" style="8" bestFit="1" customWidth="1"/>
    <col min="652" max="665" width="11.85546875" style="8" customWidth="1"/>
    <col min="666" max="666" width="14.28515625" style="8" bestFit="1" customWidth="1"/>
    <col min="667" max="667" width="4.28515625" style="8" customWidth="1"/>
    <col min="668" max="668" width="10.7109375" style="8" customWidth="1"/>
    <col min="669" max="669" width="23.28515625" style="8" bestFit="1" customWidth="1"/>
    <col min="670" max="679" width="11.28515625" style="8" customWidth="1"/>
    <col min="680" max="680" width="23.28515625" style="8" bestFit="1" customWidth="1"/>
    <col min="681" max="685" width="11.28515625" style="8" customWidth="1"/>
    <col min="686" max="780" width="11.5703125" style="8"/>
    <col min="781" max="781" width="9.85546875" style="8" customWidth="1"/>
    <col min="782" max="782" width="23.28515625" style="8" bestFit="1" customWidth="1"/>
    <col min="783" max="800" width="11" style="8" customWidth="1"/>
    <col min="801" max="801" width="10.140625" style="8" customWidth="1"/>
    <col min="802" max="802" width="23.28515625" style="8" bestFit="1" customWidth="1"/>
    <col min="803" max="811" width="11.5703125" style="8" customWidth="1"/>
    <col min="812" max="812" width="5.7109375" style="8" customWidth="1"/>
    <col min="813" max="813" width="11.5703125" style="8" customWidth="1"/>
    <col min="814" max="814" width="23.28515625" style="8" bestFit="1" customWidth="1"/>
    <col min="815" max="828" width="11.85546875" style="8" customWidth="1"/>
    <col min="829" max="829" width="9.7109375" style="8" customWidth="1"/>
    <col min="830" max="830" width="23.28515625" style="8" bestFit="1" customWidth="1"/>
    <col min="831" max="846" width="11.7109375" style="8" customWidth="1"/>
    <col min="847" max="847" width="4.42578125" style="8" customWidth="1"/>
    <col min="848" max="848" width="8.7109375" style="8" customWidth="1"/>
    <col min="849" max="849" width="23.28515625" style="8" bestFit="1" customWidth="1"/>
    <col min="850" max="861" width="11.28515625" style="8" customWidth="1"/>
    <col min="862" max="862" width="5.28515625" style="8" customWidth="1"/>
    <col min="863" max="863" width="9.5703125" style="8" customWidth="1"/>
    <col min="864" max="864" width="23.28515625" style="8" bestFit="1" customWidth="1"/>
    <col min="865" max="871" width="15.42578125" style="8" customWidth="1"/>
    <col min="872" max="872" width="6.7109375" style="8" customWidth="1"/>
    <col min="873" max="873" width="9" style="8" customWidth="1"/>
    <col min="874" max="874" width="23.28515625" style="8" bestFit="1" customWidth="1"/>
    <col min="875" max="884" width="11.140625" style="8" customWidth="1"/>
    <col min="885" max="885" width="6.7109375" style="8" customWidth="1"/>
    <col min="886" max="886" width="10.7109375" style="8" customWidth="1"/>
    <col min="887" max="887" width="23.28515625" style="8" bestFit="1" customWidth="1"/>
    <col min="888" max="898" width="13.7109375" style="8" customWidth="1"/>
    <col min="899" max="899" width="5" style="8" customWidth="1"/>
    <col min="900" max="900" width="9.28515625" style="8" customWidth="1"/>
    <col min="901" max="901" width="23.28515625" style="8" bestFit="1" customWidth="1"/>
    <col min="902" max="904" width="11.28515625" style="8" bestFit="1" customWidth="1"/>
    <col min="905" max="905" width="3" style="8" customWidth="1"/>
    <col min="906" max="906" width="8.42578125" style="8" customWidth="1"/>
    <col min="907" max="907" width="23.28515625" style="8" bestFit="1" customWidth="1"/>
    <col min="908" max="921" width="11.85546875" style="8" customWidth="1"/>
    <col min="922" max="922" width="14.28515625" style="8" bestFit="1" customWidth="1"/>
    <col min="923" max="923" width="4.28515625" style="8" customWidth="1"/>
    <col min="924" max="924" width="10.7109375" style="8" customWidth="1"/>
    <col min="925" max="925" width="23.28515625" style="8" bestFit="1" customWidth="1"/>
    <col min="926" max="935" width="11.28515625" style="8" customWidth="1"/>
    <col min="936" max="936" width="23.28515625" style="8" bestFit="1" customWidth="1"/>
    <col min="937" max="941" width="11.28515625" style="8" customWidth="1"/>
    <col min="942" max="1036" width="11.5703125" style="8"/>
    <col min="1037" max="1037" width="9.85546875" style="8" customWidth="1"/>
    <col min="1038" max="1038" width="23.28515625" style="8" bestFit="1" customWidth="1"/>
    <col min="1039" max="1056" width="11" style="8" customWidth="1"/>
    <col min="1057" max="1057" width="10.140625" style="8" customWidth="1"/>
    <col min="1058" max="1058" width="23.28515625" style="8" bestFit="1" customWidth="1"/>
    <col min="1059" max="1067" width="11.5703125" style="8" customWidth="1"/>
    <col min="1068" max="1068" width="5.7109375" style="8" customWidth="1"/>
    <col min="1069" max="1069" width="11.5703125" style="8" customWidth="1"/>
    <col min="1070" max="1070" width="23.28515625" style="8" bestFit="1" customWidth="1"/>
    <col min="1071" max="1084" width="11.85546875" style="8" customWidth="1"/>
    <col min="1085" max="1085" width="9.7109375" style="8" customWidth="1"/>
    <col min="1086" max="1086" width="23.28515625" style="8" bestFit="1" customWidth="1"/>
    <col min="1087" max="1102" width="11.7109375" style="8" customWidth="1"/>
    <col min="1103" max="1103" width="4.42578125" style="8" customWidth="1"/>
    <col min="1104" max="1104" width="8.7109375" style="8" customWidth="1"/>
    <col min="1105" max="1105" width="23.28515625" style="8" bestFit="1" customWidth="1"/>
    <col min="1106" max="1117" width="11.28515625" style="8" customWidth="1"/>
    <col min="1118" max="1118" width="5.28515625" style="8" customWidth="1"/>
    <col min="1119" max="1119" width="9.5703125" style="8" customWidth="1"/>
    <col min="1120" max="1120" width="23.28515625" style="8" bestFit="1" customWidth="1"/>
    <col min="1121" max="1127" width="15.42578125" style="8" customWidth="1"/>
    <col min="1128" max="1128" width="6.7109375" style="8" customWidth="1"/>
    <col min="1129" max="1129" width="9" style="8" customWidth="1"/>
    <col min="1130" max="1130" width="23.28515625" style="8" bestFit="1" customWidth="1"/>
    <col min="1131" max="1140" width="11.140625" style="8" customWidth="1"/>
    <col min="1141" max="1141" width="6.7109375" style="8" customWidth="1"/>
    <col min="1142" max="1142" width="10.7109375" style="8" customWidth="1"/>
    <col min="1143" max="1143" width="23.28515625" style="8" bestFit="1" customWidth="1"/>
    <col min="1144" max="1154" width="13.7109375" style="8" customWidth="1"/>
    <col min="1155" max="1155" width="5" style="8" customWidth="1"/>
    <col min="1156" max="1156" width="9.28515625" style="8" customWidth="1"/>
    <col min="1157" max="1157" width="23.28515625" style="8" bestFit="1" customWidth="1"/>
    <col min="1158" max="1160" width="11.28515625" style="8" bestFit="1" customWidth="1"/>
    <col min="1161" max="1161" width="3" style="8" customWidth="1"/>
    <col min="1162" max="1162" width="8.42578125" style="8" customWidth="1"/>
    <col min="1163" max="1163" width="23.28515625" style="8" bestFit="1" customWidth="1"/>
    <col min="1164" max="1177" width="11.85546875" style="8" customWidth="1"/>
    <col min="1178" max="1178" width="14.28515625" style="8" bestFit="1" customWidth="1"/>
    <col min="1179" max="1179" width="4.28515625" style="8" customWidth="1"/>
    <col min="1180" max="1180" width="10.7109375" style="8" customWidth="1"/>
    <col min="1181" max="1181" width="23.28515625" style="8" bestFit="1" customWidth="1"/>
    <col min="1182" max="1191" width="11.28515625" style="8" customWidth="1"/>
    <col min="1192" max="1192" width="23.28515625" style="8" bestFit="1" customWidth="1"/>
    <col min="1193" max="1197" width="11.28515625" style="8" customWidth="1"/>
    <col min="1198" max="1292" width="11.5703125" style="8"/>
    <col min="1293" max="1293" width="9.85546875" style="8" customWidth="1"/>
    <col min="1294" max="1294" width="23.28515625" style="8" bestFit="1" customWidth="1"/>
    <col min="1295" max="1312" width="11" style="8" customWidth="1"/>
    <col min="1313" max="1313" width="10.140625" style="8" customWidth="1"/>
    <col min="1314" max="1314" width="23.28515625" style="8" bestFit="1" customWidth="1"/>
    <col min="1315" max="1323" width="11.5703125" style="8" customWidth="1"/>
    <col min="1324" max="1324" width="5.7109375" style="8" customWidth="1"/>
    <col min="1325" max="1325" width="11.5703125" style="8" customWidth="1"/>
    <col min="1326" max="1326" width="23.28515625" style="8" bestFit="1" customWidth="1"/>
    <col min="1327" max="1340" width="11.85546875" style="8" customWidth="1"/>
    <col min="1341" max="1341" width="9.7109375" style="8" customWidth="1"/>
    <col min="1342" max="1342" width="23.28515625" style="8" bestFit="1" customWidth="1"/>
    <col min="1343" max="1358" width="11.7109375" style="8" customWidth="1"/>
    <col min="1359" max="1359" width="4.42578125" style="8" customWidth="1"/>
    <col min="1360" max="1360" width="8.7109375" style="8" customWidth="1"/>
    <col min="1361" max="1361" width="23.28515625" style="8" bestFit="1" customWidth="1"/>
    <col min="1362" max="1373" width="11.28515625" style="8" customWidth="1"/>
    <col min="1374" max="1374" width="5.28515625" style="8" customWidth="1"/>
    <col min="1375" max="1375" width="9.5703125" style="8" customWidth="1"/>
    <col min="1376" max="1376" width="23.28515625" style="8" bestFit="1" customWidth="1"/>
    <col min="1377" max="1383" width="15.42578125" style="8" customWidth="1"/>
    <col min="1384" max="1384" width="6.7109375" style="8" customWidth="1"/>
    <col min="1385" max="1385" width="9" style="8" customWidth="1"/>
    <col min="1386" max="1386" width="23.28515625" style="8" bestFit="1" customWidth="1"/>
    <col min="1387" max="1396" width="11.140625" style="8" customWidth="1"/>
    <col min="1397" max="1397" width="6.7109375" style="8" customWidth="1"/>
    <col min="1398" max="1398" width="10.7109375" style="8" customWidth="1"/>
    <col min="1399" max="1399" width="23.28515625" style="8" bestFit="1" customWidth="1"/>
    <col min="1400" max="1410" width="13.7109375" style="8" customWidth="1"/>
    <col min="1411" max="1411" width="5" style="8" customWidth="1"/>
    <col min="1412" max="1412" width="9.28515625" style="8" customWidth="1"/>
    <col min="1413" max="1413" width="23.28515625" style="8" bestFit="1" customWidth="1"/>
    <col min="1414" max="1416" width="11.28515625" style="8" bestFit="1" customWidth="1"/>
    <col min="1417" max="1417" width="3" style="8" customWidth="1"/>
    <col min="1418" max="1418" width="8.42578125" style="8" customWidth="1"/>
    <col min="1419" max="1419" width="23.28515625" style="8" bestFit="1" customWidth="1"/>
    <col min="1420" max="1433" width="11.85546875" style="8" customWidth="1"/>
    <col min="1434" max="1434" width="14.28515625" style="8" bestFit="1" customWidth="1"/>
    <col min="1435" max="1435" width="4.28515625" style="8" customWidth="1"/>
    <col min="1436" max="1436" width="10.7109375" style="8" customWidth="1"/>
    <col min="1437" max="1437" width="23.28515625" style="8" bestFit="1" customWidth="1"/>
    <col min="1438" max="1447" width="11.28515625" style="8" customWidth="1"/>
    <col min="1448" max="1448" width="23.28515625" style="8" bestFit="1" customWidth="1"/>
    <col min="1449" max="1453" width="11.28515625" style="8" customWidth="1"/>
    <col min="1454" max="1548" width="11.5703125" style="8"/>
    <col min="1549" max="1549" width="9.85546875" style="8" customWidth="1"/>
    <col min="1550" max="1550" width="23.28515625" style="8" bestFit="1" customWidth="1"/>
    <col min="1551" max="1568" width="11" style="8" customWidth="1"/>
    <col min="1569" max="1569" width="10.140625" style="8" customWidth="1"/>
    <col min="1570" max="1570" width="23.28515625" style="8" bestFit="1" customWidth="1"/>
    <col min="1571" max="1579" width="11.5703125" style="8" customWidth="1"/>
    <col min="1580" max="1580" width="5.7109375" style="8" customWidth="1"/>
    <col min="1581" max="1581" width="11.5703125" style="8" customWidth="1"/>
    <col min="1582" max="1582" width="23.28515625" style="8" bestFit="1" customWidth="1"/>
    <col min="1583" max="1596" width="11.85546875" style="8" customWidth="1"/>
    <col min="1597" max="1597" width="9.7109375" style="8" customWidth="1"/>
    <col min="1598" max="1598" width="23.28515625" style="8" bestFit="1" customWidth="1"/>
    <col min="1599" max="1614" width="11.7109375" style="8" customWidth="1"/>
    <col min="1615" max="1615" width="4.42578125" style="8" customWidth="1"/>
    <col min="1616" max="1616" width="8.7109375" style="8" customWidth="1"/>
    <col min="1617" max="1617" width="23.28515625" style="8" bestFit="1" customWidth="1"/>
    <col min="1618" max="1629" width="11.28515625" style="8" customWidth="1"/>
    <col min="1630" max="1630" width="5.28515625" style="8" customWidth="1"/>
    <col min="1631" max="1631" width="9.5703125" style="8" customWidth="1"/>
    <col min="1632" max="1632" width="23.28515625" style="8" bestFit="1" customWidth="1"/>
    <col min="1633" max="1639" width="15.42578125" style="8" customWidth="1"/>
    <col min="1640" max="1640" width="6.7109375" style="8" customWidth="1"/>
    <col min="1641" max="1641" width="9" style="8" customWidth="1"/>
    <col min="1642" max="1642" width="23.28515625" style="8" bestFit="1" customWidth="1"/>
    <col min="1643" max="1652" width="11.140625" style="8" customWidth="1"/>
    <col min="1653" max="1653" width="6.7109375" style="8" customWidth="1"/>
    <col min="1654" max="1654" width="10.7109375" style="8" customWidth="1"/>
    <col min="1655" max="1655" width="23.28515625" style="8" bestFit="1" customWidth="1"/>
    <col min="1656" max="1666" width="13.7109375" style="8" customWidth="1"/>
    <col min="1667" max="1667" width="5" style="8" customWidth="1"/>
    <col min="1668" max="1668" width="9.28515625" style="8" customWidth="1"/>
    <col min="1669" max="1669" width="23.28515625" style="8" bestFit="1" customWidth="1"/>
    <col min="1670" max="1672" width="11.28515625" style="8" bestFit="1" customWidth="1"/>
    <col min="1673" max="1673" width="3" style="8" customWidth="1"/>
    <col min="1674" max="1674" width="8.42578125" style="8" customWidth="1"/>
    <col min="1675" max="1675" width="23.28515625" style="8" bestFit="1" customWidth="1"/>
    <col min="1676" max="1689" width="11.85546875" style="8" customWidth="1"/>
    <col min="1690" max="1690" width="14.28515625" style="8" bestFit="1" customWidth="1"/>
    <col min="1691" max="1691" width="4.28515625" style="8" customWidth="1"/>
    <col min="1692" max="1692" width="10.7109375" style="8" customWidth="1"/>
    <col min="1693" max="1693" width="23.28515625" style="8" bestFit="1" customWidth="1"/>
    <col min="1694" max="1703" width="11.28515625" style="8" customWidth="1"/>
    <col min="1704" max="1704" width="23.28515625" style="8" bestFit="1" customWidth="1"/>
    <col min="1705" max="1709" width="11.28515625" style="8" customWidth="1"/>
    <col min="1710" max="1804" width="11.5703125" style="8"/>
    <col min="1805" max="1805" width="9.85546875" style="8" customWidth="1"/>
    <col min="1806" max="1806" width="23.28515625" style="8" bestFit="1" customWidth="1"/>
    <col min="1807" max="1824" width="11" style="8" customWidth="1"/>
    <col min="1825" max="1825" width="10.140625" style="8" customWidth="1"/>
    <col min="1826" max="1826" width="23.28515625" style="8" bestFit="1" customWidth="1"/>
    <col min="1827" max="1835" width="11.5703125" style="8" customWidth="1"/>
    <col min="1836" max="1836" width="5.7109375" style="8" customWidth="1"/>
    <col min="1837" max="1837" width="11.5703125" style="8" customWidth="1"/>
    <col min="1838" max="1838" width="23.28515625" style="8" bestFit="1" customWidth="1"/>
    <col min="1839" max="1852" width="11.85546875" style="8" customWidth="1"/>
    <col min="1853" max="1853" width="9.7109375" style="8" customWidth="1"/>
    <col min="1854" max="1854" width="23.28515625" style="8" bestFit="1" customWidth="1"/>
    <col min="1855" max="1870" width="11.7109375" style="8" customWidth="1"/>
    <col min="1871" max="1871" width="4.42578125" style="8" customWidth="1"/>
    <col min="1872" max="1872" width="8.7109375" style="8" customWidth="1"/>
    <col min="1873" max="1873" width="23.28515625" style="8" bestFit="1" customWidth="1"/>
    <col min="1874" max="1885" width="11.28515625" style="8" customWidth="1"/>
    <col min="1886" max="1886" width="5.28515625" style="8" customWidth="1"/>
    <col min="1887" max="1887" width="9.5703125" style="8" customWidth="1"/>
    <col min="1888" max="1888" width="23.28515625" style="8" bestFit="1" customWidth="1"/>
    <col min="1889" max="1895" width="15.42578125" style="8" customWidth="1"/>
    <col min="1896" max="1896" width="6.7109375" style="8" customWidth="1"/>
    <col min="1897" max="1897" width="9" style="8" customWidth="1"/>
    <col min="1898" max="1898" width="23.28515625" style="8" bestFit="1" customWidth="1"/>
    <col min="1899" max="1908" width="11.140625" style="8" customWidth="1"/>
    <col min="1909" max="1909" width="6.7109375" style="8" customWidth="1"/>
    <col min="1910" max="1910" width="10.7109375" style="8" customWidth="1"/>
    <col min="1911" max="1911" width="23.28515625" style="8" bestFit="1" customWidth="1"/>
    <col min="1912" max="1922" width="13.7109375" style="8" customWidth="1"/>
    <col min="1923" max="1923" width="5" style="8" customWidth="1"/>
    <col min="1924" max="1924" width="9.28515625" style="8" customWidth="1"/>
    <col min="1925" max="1925" width="23.28515625" style="8" bestFit="1" customWidth="1"/>
    <col min="1926" max="1928" width="11.28515625" style="8" bestFit="1" customWidth="1"/>
    <col min="1929" max="1929" width="3" style="8" customWidth="1"/>
    <col min="1930" max="1930" width="8.42578125" style="8" customWidth="1"/>
    <col min="1931" max="1931" width="23.28515625" style="8" bestFit="1" customWidth="1"/>
    <col min="1932" max="1945" width="11.85546875" style="8" customWidth="1"/>
    <col min="1946" max="1946" width="14.28515625" style="8" bestFit="1" customWidth="1"/>
    <col min="1947" max="1947" width="4.28515625" style="8" customWidth="1"/>
    <col min="1948" max="1948" width="10.7109375" style="8" customWidth="1"/>
    <col min="1949" max="1949" width="23.28515625" style="8" bestFit="1" customWidth="1"/>
    <col min="1950" max="1959" width="11.28515625" style="8" customWidth="1"/>
    <col min="1960" max="1960" width="23.28515625" style="8" bestFit="1" customWidth="1"/>
    <col min="1961" max="1965" width="11.28515625" style="8" customWidth="1"/>
    <col min="1966" max="2060" width="11.5703125" style="8"/>
    <col min="2061" max="2061" width="9.85546875" style="8" customWidth="1"/>
    <col min="2062" max="2062" width="23.28515625" style="8" bestFit="1" customWidth="1"/>
    <col min="2063" max="2080" width="11" style="8" customWidth="1"/>
    <col min="2081" max="2081" width="10.140625" style="8" customWidth="1"/>
    <col min="2082" max="2082" width="23.28515625" style="8" bestFit="1" customWidth="1"/>
    <col min="2083" max="2091" width="11.5703125" style="8" customWidth="1"/>
    <col min="2092" max="2092" width="5.7109375" style="8" customWidth="1"/>
    <col min="2093" max="2093" width="11.5703125" style="8" customWidth="1"/>
    <col min="2094" max="2094" width="23.28515625" style="8" bestFit="1" customWidth="1"/>
    <col min="2095" max="2108" width="11.85546875" style="8" customWidth="1"/>
    <col min="2109" max="2109" width="9.7109375" style="8" customWidth="1"/>
    <col min="2110" max="2110" width="23.28515625" style="8" bestFit="1" customWidth="1"/>
    <col min="2111" max="2126" width="11.7109375" style="8" customWidth="1"/>
    <col min="2127" max="2127" width="4.42578125" style="8" customWidth="1"/>
    <col min="2128" max="2128" width="8.7109375" style="8" customWidth="1"/>
    <col min="2129" max="2129" width="23.28515625" style="8" bestFit="1" customWidth="1"/>
    <col min="2130" max="2141" width="11.28515625" style="8" customWidth="1"/>
    <col min="2142" max="2142" width="5.28515625" style="8" customWidth="1"/>
    <col min="2143" max="2143" width="9.5703125" style="8" customWidth="1"/>
    <col min="2144" max="2144" width="23.28515625" style="8" bestFit="1" customWidth="1"/>
    <col min="2145" max="2151" width="15.42578125" style="8" customWidth="1"/>
    <col min="2152" max="2152" width="6.7109375" style="8" customWidth="1"/>
    <col min="2153" max="2153" width="9" style="8" customWidth="1"/>
    <col min="2154" max="2154" width="23.28515625" style="8" bestFit="1" customWidth="1"/>
    <col min="2155" max="2164" width="11.140625" style="8" customWidth="1"/>
    <col min="2165" max="2165" width="6.7109375" style="8" customWidth="1"/>
    <col min="2166" max="2166" width="10.7109375" style="8" customWidth="1"/>
    <col min="2167" max="2167" width="23.28515625" style="8" bestFit="1" customWidth="1"/>
    <col min="2168" max="2178" width="13.7109375" style="8" customWidth="1"/>
    <col min="2179" max="2179" width="5" style="8" customWidth="1"/>
    <col min="2180" max="2180" width="9.28515625" style="8" customWidth="1"/>
    <col min="2181" max="2181" width="23.28515625" style="8" bestFit="1" customWidth="1"/>
    <col min="2182" max="2184" width="11.28515625" style="8" bestFit="1" customWidth="1"/>
    <col min="2185" max="2185" width="3" style="8" customWidth="1"/>
    <col min="2186" max="2186" width="8.42578125" style="8" customWidth="1"/>
    <col min="2187" max="2187" width="23.28515625" style="8" bestFit="1" customWidth="1"/>
    <col min="2188" max="2201" width="11.85546875" style="8" customWidth="1"/>
    <col min="2202" max="2202" width="14.28515625" style="8" bestFit="1" customWidth="1"/>
    <col min="2203" max="2203" width="4.28515625" style="8" customWidth="1"/>
    <col min="2204" max="2204" width="10.7109375" style="8" customWidth="1"/>
    <col min="2205" max="2205" width="23.28515625" style="8" bestFit="1" customWidth="1"/>
    <col min="2206" max="2215" width="11.28515625" style="8" customWidth="1"/>
    <col min="2216" max="2216" width="23.28515625" style="8" bestFit="1" customWidth="1"/>
    <col min="2217" max="2221" width="11.28515625" style="8" customWidth="1"/>
    <col min="2222" max="2316" width="11.5703125" style="8"/>
    <col min="2317" max="2317" width="9.85546875" style="8" customWidth="1"/>
    <col min="2318" max="2318" width="23.28515625" style="8" bestFit="1" customWidth="1"/>
    <col min="2319" max="2336" width="11" style="8" customWidth="1"/>
    <col min="2337" max="2337" width="10.140625" style="8" customWidth="1"/>
    <col min="2338" max="2338" width="23.28515625" style="8" bestFit="1" customWidth="1"/>
    <col min="2339" max="2347" width="11.5703125" style="8" customWidth="1"/>
    <col min="2348" max="2348" width="5.7109375" style="8" customWidth="1"/>
    <col min="2349" max="2349" width="11.5703125" style="8" customWidth="1"/>
    <col min="2350" max="2350" width="23.28515625" style="8" bestFit="1" customWidth="1"/>
    <col min="2351" max="2364" width="11.85546875" style="8" customWidth="1"/>
    <col min="2365" max="2365" width="9.7109375" style="8" customWidth="1"/>
    <col min="2366" max="2366" width="23.28515625" style="8" bestFit="1" customWidth="1"/>
    <col min="2367" max="2382" width="11.7109375" style="8" customWidth="1"/>
    <col min="2383" max="2383" width="4.42578125" style="8" customWidth="1"/>
    <col min="2384" max="2384" width="8.7109375" style="8" customWidth="1"/>
    <col min="2385" max="2385" width="23.28515625" style="8" bestFit="1" customWidth="1"/>
    <col min="2386" max="2397" width="11.28515625" style="8" customWidth="1"/>
    <col min="2398" max="2398" width="5.28515625" style="8" customWidth="1"/>
    <col min="2399" max="2399" width="9.5703125" style="8" customWidth="1"/>
    <col min="2400" max="2400" width="23.28515625" style="8" bestFit="1" customWidth="1"/>
    <col min="2401" max="2407" width="15.42578125" style="8" customWidth="1"/>
    <col min="2408" max="2408" width="6.7109375" style="8" customWidth="1"/>
    <col min="2409" max="2409" width="9" style="8" customWidth="1"/>
    <col min="2410" max="2410" width="23.28515625" style="8" bestFit="1" customWidth="1"/>
    <col min="2411" max="2420" width="11.140625" style="8" customWidth="1"/>
    <col min="2421" max="2421" width="6.7109375" style="8" customWidth="1"/>
    <col min="2422" max="2422" width="10.7109375" style="8" customWidth="1"/>
    <col min="2423" max="2423" width="23.28515625" style="8" bestFit="1" customWidth="1"/>
    <col min="2424" max="2434" width="13.7109375" style="8" customWidth="1"/>
    <col min="2435" max="2435" width="5" style="8" customWidth="1"/>
    <col min="2436" max="2436" width="9.28515625" style="8" customWidth="1"/>
    <col min="2437" max="2437" width="23.28515625" style="8" bestFit="1" customWidth="1"/>
    <col min="2438" max="2440" width="11.28515625" style="8" bestFit="1" customWidth="1"/>
    <col min="2441" max="2441" width="3" style="8" customWidth="1"/>
    <col min="2442" max="2442" width="8.42578125" style="8" customWidth="1"/>
    <col min="2443" max="2443" width="23.28515625" style="8" bestFit="1" customWidth="1"/>
    <col min="2444" max="2457" width="11.85546875" style="8" customWidth="1"/>
    <col min="2458" max="2458" width="14.28515625" style="8" bestFit="1" customWidth="1"/>
    <col min="2459" max="2459" width="4.28515625" style="8" customWidth="1"/>
    <col min="2460" max="2460" width="10.7109375" style="8" customWidth="1"/>
    <col min="2461" max="2461" width="23.28515625" style="8" bestFit="1" customWidth="1"/>
    <col min="2462" max="2471" width="11.28515625" style="8" customWidth="1"/>
    <col min="2472" max="2472" width="23.28515625" style="8" bestFit="1" customWidth="1"/>
    <col min="2473" max="2477" width="11.28515625" style="8" customWidth="1"/>
    <col min="2478" max="2572" width="11.5703125" style="8"/>
    <col min="2573" max="2573" width="9.85546875" style="8" customWidth="1"/>
    <col min="2574" max="2574" width="23.28515625" style="8" bestFit="1" customWidth="1"/>
    <col min="2575" max="2592" width="11" style="8" customWidth="1"/>
    <col min="2593" max="2593" width="10.140625" style="8" customWidth="1"/>
    <col min="2594" max="2594" width="23.28515625" style="8" bestFit="1" customWidth="1"/>
    <col min="2595" max="2603" width="11.5703125" style="8" customWidth="1"/>
    <col min="2604" max="2604" width="5.7109375" style="8" customWidth="1"/>
    <col min="2605" max="2605" width="11.5703125" style="8" customWidth="1"/>
    <col min="2606" max="2606" width="23.28515625" style="8" bestFit="1" customWidth="1"/>
    <col min="2607" max="2620" width="11.85546875" style="8" customWidth="1"/>
    <col min="2621" max="2621" width="9.7109375" style="8" customWidth="1"/>
    <col min="2622" max="2622" width="23.28515625" style="8" bestFit="1" customWidth="1"/>
    <col min="2623" max="2638" width="11.7109375" style="8" customWidth="1"/>
    <col min="2639" max="2639" width="4.42578125" style="8" customWidth="1"/>
    <col min="2640" max="2640" width="8.7109375" style="8" customWidth="1"/>
    <col min="2641" max="2641" width="23.28515625" style="8" bestFit="1" customWidth="1"/>
    <col min="2642" max="2653" width="11.28515625" style="8" customWidth="1"/>
    <col min="2654" max="2654" width="5.28515625" style="8" customWidth="1"/>
    <col min="2655" max="2655" width="9.5703125" style="8" customWidth="1"/>
    <col min="2656" max="2656" width="23.28515625" style="8" bestFit="1" customWidth="1"/>
    <col min="2657" max="2663" width="15.42578125" style="8" customWidth="1"/>
    <col min="2664" max="2664" width="6.7109375" style="8" customWidth="1"/>
    <col min="2665" max="2665" width="9" style="8" customWidth="1"/>
    <col min="2666" max="2666" width="23.28515625" style="8" bestFit="1" customWidth="1"/>
    <col min="2667" max="2676" width="11.140625" style="8" customWidth="1"/>
    <col min="2677" max="2677" width="6.7109375" style="8" customWidth="1"/>
    <col min="2678" max="2678" width="10.7109375" style="8" customWidth="1"/>
    <col min="2679" max="2679" width="23.28515625" style="8" bestFit="1" customWidth="1"/>
    <col min="2680" max="2690" width="13.7109375" style="8" customWidth="1"/>
    <col min="2691" max="2691" width="5" style="8" customWidth="1"/>
    <col min="2692" max="2692" width="9.28515625" style="8" customWidth="1"/>
    <col min="2693" max="2693" width="23.28515625" style="8" bestFit="1" customWidth="1"/>
    <col min="2694" max="2696" width="11.28515625" style="8" bestFit="1" customWidth="1"/>
    <col min="2697" max="2697" width="3" style="8" customWidth="1"/>
    <col min="2698" max="2698" width="8.42578125" style="8" customWidth="1"/>
    <col min="2699" max="2699" width="23.28515625" style="8" bestFit="1" customWidth="1"/>
    <col min="2700" max="2713" width="11.85546875" style="8" customWidth="1"/>
    <col min="2714" max="2714" width="14.28515625" style="8" bestFit="1" customWidth="1"/>
    <col min="2715" max="2715" width="4.28515625" style="8" customWidth="1"/>
    <col min="2716" max="2716" width="10.7109375" style="8" customWidth="1"/>
    <col min="2717" max="2717" width="23.28515625" style="8" bestFit="1" customWidth="1"/>
    <col min="2718" max="2727" width="11.28515625" style="8" customWidth="1"/>
    <col min="2728" max="2728" width="23.28515625" style="8" bestFit="1" customWidth="1"/>
    <col min="2729" max="2733" width="11.28515625" style="8" customWidth="1"/>
    <col min="2734" max="2828" width="11.5703125" style="8"/>
    <col min="2829" max="2829" width="9.85546875" style="8" customWidth="1"/>
    <col min="2830" max="2830" width="23.28515625" style="8" bestFit="1" customWidth="1"/>
    <col min="2831" max="2848" width="11" style="8" customWidth="1"/>
    <col min="2849" max="2849" width="10.140625" style="8" customWidth="1"/>
    <col min="2850" max="2850" width="23.28515625" style="8" bestFit="1" customWidth="1"/>
    <col min="2851" max="2859" width="11.5703125" style="8" customWidth="1"/>
    <col min="2860" max="2860" width="5.7109375" style="8" customWidth="1"/>
    <col min="2861" max="2861" width="11.5703125" style="8" customWidth="1"/>
    <col min="2862" max="2862" width="23.28515625" style="8" bestFit="1" customWidth="1"/>
    <col min="2863" max="2876" width="11.85546875" style="8" customWidth="1"/>
    <col min="2877" max="2877" width="9.7109375" style="8" customWidth="1"/>
    <col min="2878" max="2878" width="23.28515625" style="8" bestFit="1" customWidth="1"/>
    <col min="2879" max="2894" width="11.7109375" style="8" customWidth="1"/>
    <col min="2895" max="2895" width="4.42578125" style="8" customWidth="1"/>
    <col min="2896" max="2896" width="8.7109375" style="8" customWidth="1"/>
    <col min="2897" max="2897" width="23.28515625" style="8" bestFit="1" customWidth="1"/>
    <col min="2898" max="2909" width="11.28515625" style="8" customWidth="1"/>
    <col min="2910" max="2910" width="5.28515625" style="8" customWidth="1"/>
    <col min="2911" max="2911" width="9.5703125" style="8" customWidth="1"/>
    <col min="2912" max="2912" width="23.28515625" style="8" bestFit="1" customWidth="1"/>
    <col min="2913" max="2919" width="15.42578125" style="8" customWidth="1"/>
    <col min="2920" max="2920" width="6.7109375" style="8" customWidth="1"/>
    <col min="2921" max="2921" width="9" style="8" customWidth="1"/>
    <col min="2922" max="2922" width="23.28515625" style="8" bestFit="1" customWidth="1"/>
    <col min="2923" max="2932" width="11.140625" style="8" customWidth="1"/>
    <col min="2933" max="2933" width="6.7109375" style="8" customWidth="1"/>
    <col min="2934" max="2934" width="10.7109375" style="8" customWidth="1"/>
    <col min="2935" max="2935" width="23.28515625" style="8" bestFit="1" customWidth="1"/>
    <col min="2936" max="2946" width="13.7109375" style="8" customWidth="1"/>
    <col min="2947" max="2947" width="5" style="8" customWidth="1"/>
    <col min="2948" max="2948" width="9.28515625" style="8" customWidth="1"/>
    <col min="2949" max="2949" width="23.28515625" style="8" bestFit="1" customWidth="1"/>
    <col min="2950" max="2952" width="11.28515625" style="8" bestFit="1" customWidth="1"/>
    <col min="2953" max="2953" width="3" style="8" customWidth="1"/>
    <col min="2954" max="2954" width="8.42578125" style="8" customWidth="1"/>
    <col min="2955" max="2955" width="23.28515625" style="8" bestFit="1" customWidth="1"/>
    <col min="2956" max="2969" width="11.85546875" style="8" customWidth="1"/>
    <col min="2970" max="2970" width="14.28515625" style="8" bestFit="1" customWidth="1"/>
    <col min="2971" max="2971" width="4.28515625" style="8" customWidth="1"/>
    <col min="2972" max="2972" width="10.7109375" style="8" customWidth="1"/>
    <col min="2973" max="2973" width="23.28515625" style="8" bestFit="1" customWidth="1"/>
    <col min="2974" max="2983" width="11.28515625" style="8" customWidth="1"/>
    <col min="2984" max="2984" width="23.28515625" style="8" bestFit="1" customWidth="1"/>
    <col min="2985" max="2989" width="11.28515625" style="8" customWidth="1"/>
    <col min="2990" max="3084" width="11.5703125" style="8"/>
    <col min="3085" max="3085" width="9.85546875" style="8" customWidth="1"/>
    <col min="3086" max="3086" width="23.28515625" style="8" bestFit="1" customWidth="1"/>
    <col min="3087" max="3104" width="11" style="8" customWidth="1"/>
    <col min="3105" max="3105" width="10.140625" style="8" customWidth="1"/>
    <col min="3106" max="3106" width="23.28515625" style="8" bestFit="1" customWidth="1"/>
    <col min="3107" max="3115" width="11.5703125" style="8" customWidth="1"/>
    <col min="3116" max="3116" width="5.7109375" style="8" customWidth="1"/>
    <col min="3117" max="3117" width="11.5703125" style="8" customWidth="1"/>
    <col min="3118" max="3118" width="23.28515625" style="8" bestFit="1" customWidth="1"/>
    <col min="3119" max="3132" width="11.85546875" style="8" customWidth="1"/>
    <col min="3133" max="3133" width="9.7109375" style="8" customWidth="1"/>
    <col min="3134" max="3134" width="23.28515625" style="8" bestFit="1" customWidth="1"/>
    <col min="3135" max="3150" width="11.7109375" style="8" customWidth="1"/>
    <col min="3151" max="3151" width="4.42578125" style="8" customWidth="1"/>
    <col min="3152" max="3152" width="8.7109375" style="8" customWidth="1"/>
    <col min="3153" max="3153" width="23.28515625" style="8" bestFit="1" customWidth="1"/>
    <col min="3154" max="3165" width="11.28515625" style="8" customWidth="1"/>
    <col min="3166" max="3166" width="5.28515625" style="8" customWidth="1"/>
    <col min="3167" max="3167" width="9.5703125" style="8" customWidth="1"/>
    <col min="3168" max="3168" width="23.28515625" style="8" bestFit="1" customWidth="1"/>
    <col min="3169" max="3175" width="15.42578125" style="8" customWidth="1"/>
    <col min="3176" max="3176" width="6.7109375" style="8" customWidth="1"/>
    <col min="3177" max="3177" width="9" style="8" customWidth="1"/>
    <col min="3178" max="3178" width="23.28515625" style="8" bestFit="1" customWidth="1"/>
    <col min="3179" max="3188" width="11.140625" style="8" customWidth="1"/>
    <col min="3189" max="3189" width="6.7109375" style="8" customWidth="1"/>
    <col min="3190" max="3190" width="10.7109375" style="8" customWidth="1"/>
    <col min="3191" max="3191" width="23.28515625" style="8" bestFit="1" customWidth="1"/>
    <col min="3192" max="3202" width="13.7109375" style="8" customWidth="1"/>
    <col min="3203" max="3203" width="5" style="8" customWidth="1"/>
    <col min="3204" max="3204" width="9.28515625" style="8" customWidth="1"/>
    <col min="3205" max="3205" width="23.28515625" style="8" bestFit="1" customWidth="1"/>
    <col min="3206" max="3208" width="11.28515625" style="8" bestFit="1" customWidth="1"/>
    <col min="3209" max="3209" width="3" style="8" customWidth="1"/>
    <col min="3210" max="3210" width="8.42578125" style="8" customWidth="1"/>
    <col min="3211" max="3211" width="23.28515625" style="8" bestFit="1" customWidth="1"/>
    <col min="3212" max="3225" width="11.85546875" style="8" customWidth="1"/>
    <col min="3226" max="3226" width="14.28515625" style="8" bestFit="1" customWidth="1"/>
    <col min="3227" max="3227" width="4.28515625" style="8" customWidth="1"/>
    <col min="3228" max="3228" width="10.7109375" style="8" customWidth="1"/>
    <col min="3229" max="3229" width="23.28515625" style="8" bestFit="1" customWidth="1"/>
    <col min="3230" max="3239" width="11.28515625" style="8" customWidth="1"/>
    <col min="3240" max="3240" width="23.28515625" style="8" bestFit="1" customWidth="1"/>
    <col min="3241" max="3245" width="11.28515625" style="8" customWidth="1"/>
    <col min="3246" max="3340" width="11.5703125" style="8"/>
    <col min="3341" max="3341" width="9.85546875" style="8" customWidth="1"/>
    <col min="3342" max="3342" width="23.28515625" style="8" bestFit="1" customWidth="1"/>
    <col min="3343" max="3360" width="11" style="8" customWidth="1"/>
    <col min="3361" max="3361" width="10.140625" style="8" customWidth="1"/>
    <col min="3362" max="3362" width="23.28515625" style="8" bestFit="1" customWidth="1"/>
    <col min="3363" max="3371" width="11.5703125" style="8" customWidth="1"/>
    <col min="3372" max="3372" width="5.7109375" style="8" customWidth="1"/>
    <col min="3373" max="3373" width="11.5703125" style="8" customWidth="1"/>
    <col min="3374" max="3374" width="23.28515625" style="8" bestFit="1" customWidth="1"/>
    <col min="3375" max="3388" width="11.85546875" style="8" customWidth="1"/>
    <col min="3389" max="3389" width="9.7109375" style="8" customWidth="1"/>
    <col min="3390" max="3390" width="23.28515625" style="8" bestFit="1" customWidth="1"/>
    <col min="3391" max="3406" width="11.7109375" style="8" customWidth="1"/>
    <col min="3407" max="3407" width="4.42578125" style="8" customWidth="1"/>
    <col min="3408" max="3408" width="8.7109375" style="8" customWidth="1"/>
    <col min="3409" max="3409" width="23.28515625" style="8" bestFit="1" customWidth="1"/>
    <col min="3410" max="3421" width="11.28515625" style="8" customWidth="1"/>
    <col min="3422" max="3422" width="5.28515625" style="8" customWidth="1"/>
    <col min="3423" max="3423" width="9.5703125" style="8" customWidth="1"/>
    <col min="3424" max="3424" width="23.28515625" style="8" bestFit="1" customWidth="1"/>
    <col min="3425" max="3431" width="15.42578125" style="8" customWidth="1"/>
    <col min="3432" max="3432" width="6.7109375" style="8" customWidth="1"/>
    <col min="3433" max="3433" width="9" style="8" customWidth="1"/>
    <col min="3434" max="3434" width="23.28515625" style="8" bestFit="1" customWidth="1"/>
    <col min="3435" max="3444" width="11.140625" style="8" customWidth="1"/>
    <col min="3445" max="3445" width="6.7109375" style="8" customWidth="1"/>
    <col min="3446" max="3446" width="10.7109375" style="8" customWidth="1"/>
    <col min="3447" max="3447" width="23.28515625" style="8" bestFit="1" customWidth="1"/>
    <col min="3448" max="3458" width="13.7109375" style="8" customWidth="1"/>
    <col min="3459" max="3459" width="5" style="8" customWidth="1"/>
    <col min="3460" max="3460" width="9.28515625" style="8" customWidth="1"/>
    <col min="3461" max="3461" width="23.28515625" style="8" bestFit="1" customWidth="1"/>
    <col min="3462" max="3464" width="11.28515625" style="8" bestFit="1" customWidth="1"/>
    <col min="3465" max="3465" width="3" style="8" customWidth="1"/>
    <col min="3466" max="3466" width="8.42578125" style="8" customWidth="1"/>
    <col min="3467" max="3467" width="23.28515625" style="8" bestFit="1" customWidth="1"/>
    <col min="3468" max="3481" width="11.85546875" style="8" customWidth="1"/>
    <col min="3482" max="3482" width="14.28515625" style="8" bestFit="1" customWidth="1"/>
    <col min="3483" max="3483" width="4.28515625" style="8" customWidth="1"/>
    <col min="3484" max="3484" width="10.7109375" style="8" customWidth="1"/>
    <col min="3485" max="3485" width="23.28515625" style="8" bestFit="1" customWidth="1"/>
    <col min="3486" max="3495" width="11.28515625" style="8" customWidth="1"/>
    <col min="3496" max="3496" width="23.28515625" style="8" bestFit="1" customWidth="1"/>
    <col min="3497" max="3501" width="11.28515625" style="8" customWidth="1"/>
    <col min="3502" max="3596" width="11.5703125" style="8"/>
    <col min="3597" max="3597" width="9.85546875" style="8" customWidth="1"/>
    <col min="3598" max="3598" width="23.28515625" style="8" bestFit="1" customWidth="1"/>
    <col min="3599" max="3616" width="11" style="8" customWidth="1"/>
    <col min="3617" max="3617" width="10.140625" style="8" customWidth="1"/>
    <col min="3618" max="3618" width="23.28515625" style="8" bestFit="1" customWidth="1"/>
    <col min="3619" max="3627" width="11.5703125" style="8" customWidth="1"/>
    <col min="3628" max="3628" width="5.7109375" style="8" customWidth="1"/>
    <col min="3629" max="3629" width="11.5703125" style="8" customWidth="1"/>
    <col min="3630" max="3630" width="23.28515625" style="8" bestFit="1" customWidth="1"/>
    <col min="3631" max="3644" width="11.85546875" style="8" customWidth="1"/>
    <col min="3645" max="3645" width="9.7109375" style="8" customWidth="1"/>
    <col min="3646" max="3646" width="23.28515625" style="8" bestFit="1" customWidth="1"/>
    <col min="3647" max="3662" width="11.7109375" style="8" customWidth="1"/>
    <col min="3663" max="3663" width="4.42578125" style="8" customWidth="1"/>
    <col min="3664" max="3664" width="8.7109375" style="8" customWidth="1"/>
    <col min="3665" max="3665" width="23.28515625" style="8" bestFit="1" customWidth="1"/>
    <col min="3666" max="3677" width="11.28515625" style="8" customWidth="1"/>
    <col min="3678" max="3678" width="5.28515625" style="8" customWidth="1"/>
    <col min="3679" max="3679" width="9.5703125" style="8" customWidth="1"/>
    <col min="3680" max="3680" width="23.28515625" style="8" bestFit="1" customWidth="1"/>
    <col min="3681" max="3687" width="15.42578125" style="8" customWidth="1"/>
    <col min="3688" max="3688" width="6.7109375" style="8" customWidth="1"/>
    <col min="3689" max="3689" width="9" style="8" customWidth="1"/>
    <col min="3690" max="3690" width="23.28515625" style="8" bestFit="1" customWidth="1"/>
    <col min="3691" max="3700" width="11.140625" style="8" customWidth="1"/>
    <col min="3701" max="3701" width="6.7109375" style="8" customWidth="1"/>
    <col min="3702" max="3702" width="10.7109375" style="8" customWidth="1"/>
    <col min="3703" max="3703" width="23.28515625" style="8" bestFit="1" customWidth="1"/>
    <col min="3704" max="3714" width="13.7109375" style="8" customWidth="1"/>
    <col min="3715" max="3715" width="5" style="8" customWidth="1"/>
    <col min="3716" max="3716" width="9.28515625" style="8" customWidth="1"/>
    <col min="3717" max="3717" width="23.28515625" style="8" bestFit="1" customWidth="1"/>
    <col min="3718" max="3720" width="11.28515625" style="8" bestFit="1" customWidth="1"/>
    <col min="3721" max="3721" width="3" style="8" customWidth="1"/>
    <col min="3722" max="3722" width="8.42578125" style="8" customWidth="1"/>
    <col min="3723" max="3723" width="23.28515625" style="8" bestFit="1" customWidth="1"/>
    <col min="3724" max="3737" width="11.85546875" style="8" customWidth="1"/>
    <col min="3738" max="3738" width="14.28515625" style="8" bestFit="1" customWidth="1"/>
    <col min="3739" max="3739" width="4.28515625" style="8" customWidth="1"/>
    <col min="3740" max="3740" width="10.7109375" style="8" customWidth="1"/>
    <col min="3741" max="3741" width="23.28515625" style="8" bestFit="1" customWidth="1"/>
    <col min="3742" max="3751" width="11.28515625" style="8" customWidth="1"/>
    <col min="3752" max="3752" width="23.28515625" style="8" bestFit="1" customWidth="1"/>
    <col min="3753" max="3757" width="11.28515625" style="8" customWidth="1"/>
    <col min="3758" max="3852" width="11.5703125" style="8"/>
    <col min="3853" max="3853" width="9.85546875" style="8" customWidth="1"/>
    <col min="3854" max="3854" width="23.28515625" style="8" bestFit="1" customWidth="1"/>
    <col min="3855" max="3872" width="11" style="8" customWidth="1"/>
    <col min="3873" max="3873" width="10.140625" style="8" customWidth="1"/>
    <col min="3874" max="3874" width="23.28515625" style="8" bestFit="1" customWidth="1"/>
    <col min="3875" max="3883" width="11.5703125" style="8" customWidth="1"/>
    <col min="3884" max="3884" width="5.7109375" style="8" customWidth="1"/>
    <col min="3885" max="3885" width="11.5703125" style="8" customWidth="1"/>
    <col min="3886" max="3886" width="23.28515625" style="8" bestFit="1" customWidth="1"/>
    <col min="3887" max="3900" width="11.85546875" style="8" customWidth="1"/>
    <col min="3901" max="3901" width="9.7109375" style="8" customWidth="1"/>
    <col min="3902" max="3902" width="23.28515625" style="8" bestFit="1" customWidth="1"/>
    <col min="3903" max="3918" width="11.7109375" style="8" customWidth="1"/>
    <col min="3919" max="3919" width="4.42578125" style="8" customWidth="1"/>
    <col min="3920" max="3920" width="8.7109375" style="8" customWidth="1"/>
    <col min="3921" max="3921" width="23.28515625" style="8" bestFit="1" customWidth="1"/>
    <col min="3922" max="3933" width="11.28515625" style="8" customWidth="1"/>
    <col min="3934" max="3934" width="5.28515625" style="8" customWidth="1"/>
    <col min="3935" max="3935" width="9.5703125" style="8" customWidth="1"/>
    <col min="3936" max="3936" width="23.28515625" style="8" bestFit="1" customWidth="1"/>
    <col min="3937" max="3943" width="15.42578125" style="8" customWidth="1"/>
    <col min="3944" max="3944" width="6.7109375" style="8" customWidth="1"/>
    <col min="3945" max="3945" width="9" style="8" customWidth="1"/>
    <col min="3946" max="3946" width="23.28515625" style="8" bestFit="1" customWidth="1"/>
    <col min="3947" max="3956" width="11.140625" style="8" customWidth="1"/>
    <col min="3957" max="3957" width="6.7109375" style="8" customWidth="1"/>
    <col min="3958" max="3958" width="10.7109375" style="8" customWidth="1"/>
    <col min="3959" max="3959" width="23.28515625" style="8" bestFit="1" customWidth="1"/>
    <col min="3960" max="3970" width="13.7109375" style="8" customWidth="1"/>
    <col min="3971" max="3971" width="5" style="8" customWidth="1"/>
    <col min="3972" max="3972" width="9.28515625" style="8" customWidth="1"/>
    <col min="3973" max="3973" width="23.28515625" style="8" bestFit="1" customWidth="1"/>
    <col min="3974" max="3976" width="11.28515625" style="8" bestFit="1" customWidth="1"/>
    <col min="3977" max="3977" width="3" style="8" customWidth="1"/>
    <col min="3978" max="3978" width="8.42578125" style="8" customWidth="1"/>
    <col min="3979" max="3979" width="23.28515625" style="8" bestFit="1" customWidth="1"/>
    <col min="3980" max="3993" width="11.85546875" style="8" customWidth="1"/>
    <col min="3994" max="3994" width="14.28515625" style="8" bestFit="1" customWidth="1"/>
    <col min="3995" max="3995" width="4.28515625" style="8" customWidth="1"/>
    <col min="3996" max="3996" width="10.7109375" style="8" customWidth="1"/>
    <col min="3997" max="3997" width="23.28515625" style="8" bestFit="1" customWidth="1"/>
    <col min="3998" max="4007" width="11.28515625" style="8" customWidth="1"/>
    <col min="4008" max="4008" width="23.28515625" style="8" bestFit="1" customWidth="1"/>
    <col min="4009" max="4013" width="11.28515625" style="8" customWidth="1"/>
    <col min="4014" max="4108" width="11.5703125" style="8"/>
    <col min="4109" max="4109" width="9.85546875" style="8" customWidth="1"/>
    <col min="4110" max="4110" width="23.28515625" style="8" bestFit="1" customWidth="1"/>
    <col min="4111" max="4128" width="11" style="8" customWidth="1"/>
    <col min="4129" max="4129" width="10.140625" style="8" customWidth="1"/>
    <col min="4130" max="4130" width="23.28515625" style="8" bestFit="1" customWidth="1"/>
    <col min="4131" max="4139" width="11.5703125" style="8" customWidth="1"/>
    <col min="4140" max="4140" width="5.7109375" style="8" customWidth="1"/>
    <col min="4141" max="4141" width="11.5703125" style="8" customWidth="1"/>
    <col min="4142" max="4142" width="23.28515625" style="8" bestFit="1" customWidth="1"/>
    <col min="4143" max="4156" width="11.85546875" style="8" customWidth="1"/>
    <col min="4157" max="4157" width="9.7109375" style="8" customWidth="1"/>
    <col min="4158" max="4158" width="23.28515625" style="8" bestFit="1" customWidth="1"/>
    <col min="4159" max="4174" width="11.7109375" style="8" customWidth="1"/>
    <col min="4175" max="4175" width="4.42578125" style="8" customWidth="1"/>
    <col min="4176" max="4176" width="8.7109375" style="8" customWidth="1"/>
    <col min="4177" max="4177" width="23.28515625" style="8" bestFit="1" customWidth="1"/>
    <col min="4178" max="4189" width="11.28515625" style="8" customWidth="1"/>
    <col min="4190" max="4190" width="5.28515625" style="8" customWidth="1"/>
    <col min="4191" max="4191" width="9.5703125" style="8" customWidth="1"/>
    <col min="4192" max="4192" width="23.28515625" style="8" bestFit="1" customWidth="1"/>
    <col min="4193" max="4199" width="15.42578125" style="8" customWidth="1"/>
    <col min="4200" max="4200" width="6.7109375" style="8" customWidth="1"/>
    <col min="4201" max="4201" width="9" style="8" customWidth="1"/>
    <col min="4202" max="4202" width="23.28515625" style="8" bestFit="1" customWidth="1"/>
    <col min="4203" max="4212" width="11.140625" style="8" customWidth="1"/>
    <col min="4213" max="4213" width="6.7109375" style="8" customWidth="1"/>
    <col min="4214" max="4214" width="10.7109375" style="8" customWidth="1"/>
    <col min="4215" max="4215" width="23.28515625" style="8" bestFit="1" customWidth="1"/>
    <col min="4216" max="4226" width="13.7109375" style="8" customWidth="1"/>
    <col min="4227" max="4227" width="5" style="8" customWidth="1"/>
    <col min="4228" max="4228" width="9.28515625" style="8" customWidth="1"/>
    <col min="4229" max="4229" width="23.28515625" style="8" bestFit="1" customWidth="1"/>
    <col min="4230" max="4232" width="11.28515625" style="8" bestFit="1" customWidth="1"/>
    <col min="4233" max="4233" width="3" style="8" customWidth="1"/>
    <col min="4234" max="4234" width="8.42578125" style="8" customWidth="1"/>
    <col min="4235" max="4235" width="23.28515625" style="8" bestFit="1" customWidth="1"/>
    <col min="4236" max="4249" width="11.85546875" style="8" customWidth="1"/>
    <col min="4250" max="4250" width="14.28515625" style="8" bestFit="1" customWidth="1"/>
    <col min="4251" max="4251" width="4.28515625" style="8" customWidth="1"/>
    <col min="4252" max="4252" width="10.7109375" style="8" customWidth="1"/>
    <col min="4253" max="4253" width="23.28515625" style="8" bestFit="1" customWidth="1"/>
    <col min="4254" max="4263" width="11.28515625" style="8" customWidth="1"/>
    <col min="4264" max="4264" width="23.28515625" style="8" bestFit="1" customWidth="1"/>
    <col min="4265" max="4269" width="11.28515625" style="8" customWidth="1"/>
    <col min="4270" max="4364" width="11.5703125" style="8"/>
    <col min="4365" max="4365" width="9.85546875" style="8" customWidth="1"/>
    <col min="4366" max="4366" width="23.28515625" style="8" bestFit="1" customWidth="1"/>
    <col min="4367" max="4384" width="11" style="8" customWidth="1"/>
    <col min="4385" max="4385" width="10.140625" style="8" customWidth="1"/>
    <col min="4386" max="4386" width="23.28515625" style="8" bestFit="1" customWidth="1"/>
    <col min="4387" max="4395" width="11.5703125" style="8" customWidth="1"/>
    <col min="4396" max="4396" width="5.7109375" style="8" customWidth="1"/>
    <col min="4397" max="4397" width="11.5703125" style="8" customWidth="1"/>
    <col min="4398" max="4398" width="23.28515625" style="8" bestFit="1" customWidth="1"/>
    <col min="4399" max="4412" width="11.85546875" style="8" customWidth="1"/>
    <col min="4413" max="4413" width="9.7109375" style="8" customWidth="1"/>
    <col min="4414" max="4414" width="23.28515625" style="8" bestFit="1" customWidth="1"/>
    <col min="4415" max="4430" width="11.7109375" style="8" customWidth="1"/>
    <col min="4431" max="4431" width="4.42578125" style="8" customWidth="1"/>
    <col min="4432" max="4432" width="8.7109375" style="8" customWidth="1"/>
    <col min="4433" max="4433" width="23.28515625" style="8" bestFit="1" customWidth="1"/>
    <col min="4434" max="4445" width="11.28515625" style="8" customWidth="1"/>
    <col min="4446" max="4446" width="5.28515625" style="8" customWidth="1"/>
    <col min="4447" max="4447" width="9.5703125" style="8" customWidth="1"/>
    <col min="4448" max="4448" width="23.28515625" style="8" bestFit="1" customWidth="1"/>
    <col min="4449" max="4455" width="15.42578125" style="8" customWidth="1"/>
    <col min="4456" max="4456" width="6.7109375" style="8" customWidth="1"/>
    <col min="4457" max="4457" width="9" style="8" customWidth="1"/>
    <col min="4458" max="4458" width="23.28515625" style="8" bestFit="1" customWidth="1"/>
    <col min="4459" max="4468" width="11.140625" style="8" customWidth="1"/>
    <col min="4469" max="4469" width="6.7109375" style="8" customWidth="1"/>
    <col min="4470" max="4470" width="10.7109375" style="8" customWidth="1"/>
    <col min="4471" max="4471" width="23.28515625" style="8" bestFit="1" customWidth="1"/>
    <col min="4472" max="4482" width="13.7109375" style="8" customWidth="1"/>
    <col min="4483" max="4483" width="5" style="8" customWidth="1"/>
    <col min="4484" max="4484" width="9.28515625" style="8" customWidth="1"/>
    <col min="4485" max="4485" width="23.28515625" style="8" bestFit="1" customWidth="1"/>
    <col min="4486" max="4488" width="11.28515625" style="8" bestFit="1" customWidth="1"/>
    <col min="4489" max="4489" width="3" style="8" customWidth="1"/>
    <col min="4490" max="4490" width="8.42578125" style="8" customWidth="1"/>
    <col min="4491" max="4491" width="23.28515625" style="8" bestFit="1" customWidth="1"/>
    <col min="4492" max="4505" width="11.85546875" style="8" customWidth="1"/>
    <col min="4506" max="4506" width="14.28515625" style="8" bestFit="1" customWidth="1"/>
    <col min="4507" max="4507" width="4.28515625" style="8" customWidth="1"/>
    <col min="4508" max="4508" width="10.7109375" style="8" customWidth="1"/>
    <col min="4509" max="4509" width="23.28515625" style="8" bestFit="1" customWidth="1"/>
    <col min="4510" max="4519" width="11.28515625" style="8" customWidth="1"/>
    <col min="4520" max="4520" width="23.28515625" style="8" bestFit="1" customWidth="1"/>
    <col min="4521" max="4525" width="11.28515625" style="8" customWidth="1"/>
    <col min="4526" max="4620" width="11.5703125" style="8"/>
    <col min="4621" max="4621" width="9.85546875" style="8" customWidth="1"/>
    <col min="4622" max="4622" width="23.28515625" style="8" bestFit="1" customWidth="1"/>
    <col min="4623" max="4640" width="11" style="8" customWidth="1"/>
    <col min="4641" max="4641" width="10.140625" style="8" customWidth="1"/>
    <col min="4642" max="4642" width="23.28515625" style="8" bestFit="1" customWidth="1"/>
    <col min="4643" max="4651" width="11.5703125" style="8" customWidth="1"/>
    <col min="4652" max="4652" width="5.7109375" style="8" customWidth="1"/>
    <col min="4653" max="4653" width="11.5703125" style="8" customWidth="1"/>
    <col min="4654" max="4654" width="23.28515625" style="8" bestFit="1" customWidth="1"/>
    <col min="4655" max="4668" width="11.85546875" style="8" customWidth="1"/>
    <col min="4669" max="4669" width="9.7109375" style="8" customWidth="1"/>
    <col min="4670" max="4670" width="23.28515625" style="8" bestFit="1" customWidth="1"/>
    <col min="4671" max="4686" width="11.7109375" style="8" customWidth="1"/>
    <col min="4687" max="4687" width="4.42578125" style="8" customWidth="1"/>
    <col min="4688" max="4688" width="8.7109375" style="8" customWidth="1"/>
    <col min="4689" max="4689" width="23.28515625" style="8" bestFit="1" customWidth="1"/>
    <col min="4690" max="4701" width="11.28515625" style="8" customWidth="1"/>
    <col min="4702" max="4702" width="5.28515625" style="8" customWidth="1"/>
    <col min="4703" max="4703" width="9.5703125" style="8" customWidth="1"/>
    <col min="4704" max="4704" width="23.28515625" style="8" bestFit="1" customWidth="1"/>
    <col min="4705" max="4711" width="15.42578125" style="8" customWidth="1"/>
    <col min="4712" max="4712" width="6.7109375" style="8" customWidth="1"/>
    <col min="4713" max="4713" width="9" style="8" customWidth="1"/>
    <col min="4714" max="4714" width="23.28515625" style="8" bestFit="1" customWidth="1"/>
    <col min="4715" max="4724" width="11.140625" style="8" customWidth="1"/>
    <col min="4725" max="4725" width="6.7109375" style="8" customWidth="1"/>
    <col min="4726" max="4726" width="10.7109375" style="8" customWidth="1"/>
    <col min="4727" max="4727" width="23.28515625" style="8" bestFit="1" customWidth="1"/>
    <col min="4728" max="4738" width="13.7109375" style="8" customWidth="1"/>
    <col min="4739" max="4739" width="5" style="8" customWidth="1"/>
    <col min="4740" max="4740" width="9.28515625" style="8" customWidth="1"/>
    <col min="4741" max="4741" width="23.28515625" style="8" bestFit="1" customWidth="1"/>
    <col min="4742" max="4744" width="11.28515625" style="8" bestFit="1" customWidth="1"/>
    <col min="4745" max="4745" width="3" style="8" customWidth="1"/>
    <col min="4746" max="4746" width="8.42578125" style="8" customWidth="1"/>
    <col min="4747" max="4747" width="23.28515625" style="8" bestFit="1" customWidth="1"/>
    <col min="4748" max="4761" width="11.85546875" style="8" customWidth="1"/>
    <col min="4762" max="4762" width="14.28515625" style="8" bestFit="1" customWidth="1"/>
    <col min="4763" max="4763" width="4.28515625" style="8" customWidth="1"/>
    <col min="4764" max="4764" width="10.7109375" style="8" customWidth="1"/>
    <col min="4765" max="4765" width="23.28515625" style="8" bestFit="1" customWidth="1"/>
    <col min="4766" max="4775" width="11.28515625" style="8" customWidth="1"/>
    <col min="4776" max="4776" width="23.28515625" style="8" bestFit="1" customWidth="1"/>
    <col min="4777" max="4781" width="11.28515625" style="8" customWidth="1"/>
    <col min="4782" max="4876" width="11.5703125" style="8"/>
    <col min="4877" max="4877" width="9.85546875" style="8" customWidth="1"/>
    <col min="4878" max="4878" width="23.28515625" style="8" bestFit="1" customWidth="1"/>
    <col min="4879" max="4896" width="11" style="8" customWidth="1"/>
    <col min="4897" max="4897" width="10.140625" style="8" customWidth="1"/>
    <col min="4898" max="4898" width="23.28515625" style="8" bestFit="1" customWidth="1"/>
    <col min="4899" max="4907" width="11.5703125" style="8" customWidth="1"/>
    <col min="4908" max="4908" width="5.7109375" style="8" customWidth="1"/>
    <col min="4909" max="4909" width="11.5703125" style="8" customWidth="1"/>
    <col min="4910" max="4910" width="23.28515625" style="8" bestFit="1" customWidth="1"/>
    <col min="4911" max="4924" width="11.85546875" style="8" customWidth="1"/>
    <col min="4925" max="4925" width="9.7109375" style="8" customWidth="1"/>
    <col min="4926" max="4926" width="23.28515625" style="8" bestFit="1" customWidth="1"/>
    <col min="4927" max="4942" width="11.7109375" style="8" customWidth="1"/>
    <col min="4943" max="4943" width="4.42578125" style="8" customWidth="1"/>
    <col min="4944" max="4944" width="8.7109375" style="8" customWidth="1"/>
    <col min="4945" max="4945" width="23.28515625" style="8" bestFit="1" customWidth="1"/>
    <col min="4946" max="4957" width="11.28515625" style="8" customWidth="1"/>
    <col min="4958" max="4958" width="5.28515625" style="8" customWidth="1"/>
    <col min="4959" max="4959" width="9.5703125" style="8" customWidth="1"/>
    <col min="4960" max="4960" width="23.28515625" style="8" bestFit="1" customWidth="1"/>
    <col min="4961" max="4967" width="15.42578125" style="8" customWidth="1"/>
    <col min="4968" max="4968" width="6.7109375" style="8" customWidth="1"/>
    <col min="4969" max="4969" width="9" style="8" customWidth="1"/>
    <col min="4970" max="4970" width="23.28515625" style="8" bestFit="1" customWidth="1"/>
    <col min="4971" max="4980" width="11.140625" style="8" customWidth="1"/>
    <col min="4981" max="4981" width="6.7109375" style="8" customWidth="1"/>
    <col min="4982" max="4982" width="10.7109375" style="8" customWidth="1"/>
    <col min="4983" max="4983" width="23.28515625" style="8" bestFit="1" customWidth="1"/>
    <col min="4984" max="4994" width="13.7109375" style="8" customWidth="1"/>
    <col min="4995" max="4995" width="5" style="8" customWidth="1"/>
    <col min="4996" max="4996" width="9.28515625" style="8" customWidth="1"/>
    <col min="4997" max="4997" width="23.28515625" style="8" bestFit="1" customWidth="1"/>
    <col min="4998" max="5000" width="11.28515625" style="8" bestFit="1" customWidth="1"/>
    <col min="5001" max="5001" width="3" style="8" customWidth="1"/>
    <col min="5002" max="5002" width="8.42578125" style="8" customWidth="1"/>
    <col min="5003" max="5003" width="23.28515625" style="8" bestFit="1" customWidth="1"/>
    <col min="5004" max="5017" width="11.85546875" style="8" customWidth="1"/>
    <col min="5018" max="5018" width="14.28515625" style="8" bestFit="1" customWidth="1"/>
    <col min="5019" max="5019" width="4.28515625" style="8" customWidth="1"/>
    <col min="5020" max="5020" width="10.7109375" style="8" customWidth="1"/>
    <col min="5021" max="5021" width="23.28515625" style="8" bestFit="1" customWidth="1"/>
    <col min="5022" max="5031" width="11.28515625" style="8" customWidth="1"/>
    <col min="5032" max="5032" width="23.28515625" style="8" bestFit="1" customWidth="1"/>
    <col min="5033" max="5037" width="11.28515625" style="8" customWidth="1"/>
    <col min="5038" max="5132" width="11.5703125" style="8"/>
    <col min="5133" max="5133" width="9.85546875" style="8" customWidth="1"/>
    <col min="5134" max="5134" width="23.28515625" style="8" bestFit="1" customWidth="1"/>
    <col min="5135" max="5152" width="11" style="8" customWidth="1"/>
    <col min="5153" max="5153" width="10.140625" style="8" customWidth="1"/>
    <col min="5154" max="5154" width="23.28515625" style="8" bestFit="1" customWidth="1"/>
    <col min="5155" max="5163" width="11.5703125" style="8" customWidth="1"/>
    <col min="5164" max="5164" width="5.7109375" style="8" customWidth="1"/>
    <col min="5165" max="5165" width="11.5703125" style="8" customWidth="1"/>
    <col min="5166" max="5166" width="23.28515625" style="8" bestFit="1" customWidth="1"/>
    <col min="5167" max="5180" width="11.85546875" style="8" customWidth="1"/>
    <col min="5181" max="5181" width="9.7109375" style="8" customWidth="1"/>
    <col min="5182" max="5182" width="23.28515625" style="8" bestFit="1" customWidth="1"/>
    <col min="5183" max="5198" width="11.7109375" style="8" customWidth="1"/>
    <col min="5199" max="5199" width="4.42578125" style="8" customWidth="1"/>
    <col min="5200" max="5200" width="8.7109375" style="8" customWidth="1"/>
    <col min="5201" max="5201" width="23.28515625" style="8" bestFit="1" customWidth="1"/>
    <col min="5202" max="5213" width="11.28515625" style="8" customWidth="1"/>
    <col min="5214" max="5214" width="5.28515625" style="8" customWidth="1"/>
    <col min="5215" max="5215" width="9.5703125" style="8" customWidth="1"/>
    <col min="5216" max="5216" width="23.28515625" style="8" bestFit="1" customWidth="1"/>
    <col min="5217" max="5223" width="15.42578125" style="8" customWidth="1"/>
    <col min="5224" max="5224" width="6.7109375" style="8" customWidth="1"/>
    <col min="5225" max="5225" width="9" style="8" customWidth="1"/>
    <col min="5226" max="5226" width="23.28515625" style="8" bestFit="1" customWidth="1"/>
    <col min="5227" max="5236" width="11.140625" style="8" customWidth="1"/>
    <col min="5237" max="5237" width="6.7109375" style="8" customWidth="1"/>
    <col min="5238" max="5238" width="10.7109375" style="8" customWidth="1"/>
    <col min="5239" max="5239" width="23.28515625" style="8" bestFit="1" customWidth="1"/>
    <col min="5240" max="5250" width="13.7109375" style="8" customWidth="1"/>
    <col min="5251" max="5251" width="5" style="8" customWidth="1"/>
    <col min="5252" max="5252" width="9.28515625" style="8" customWidth="1"/>
    <col min="5253" max="5253" width="23.28515625" style="8" bestFit="1" customWidth="1"/>
    <col min="5254" max="5256" width="11.28515625" style="8" bestFit="1" customWidth="1"/>
    <col min="5257" max="5257" width="3" style="8" customWidth="1"/>
    <col min="5258" max="5258" width="8.42578125" style="8" customWidth="1"/>
    <col min="5259" max="5259" width="23.28515625" style="8" bestFit="1" customWidth="1"/>
    <col min="5260" max="5273" width="11.85546875" style="8" customWidth="1"/>
    <col min="5274" max="5274" width="14.28515625" style="8" bestFit="1" customWidth="1"/>
    <col min="5275" max="5275" width="4.28515625" style="8" customWidth="1"/>
    <col min="5276" max="5276" width="10.7109375" style="8" customWidth="1"/>
    <col min="5277" max="5277" width="23.28515625" style="8" bestFit="1" customWidth="1"/>
    <col min="5278" max="5287" width="11.28515625" style="8" customWidth="1"/>
    <col min="5288" max="5288" width="23.28515625" style="8" bestFit="1" customWidth="1"/>
    <col min="5289" max="5293" width="11.28515625" style="8" customWidth="1"/>
    <col min="5294" max="5388" width="11.5703125" style="8"/>
    <col min="5389" max="5389" width="9.85546875" style="8" customWidth="1"/>
    <col min="5390" max="5390" width="23.28515625" style="8" bestFit="1" customWidth="1"/>
    <col min="5391" max="5408" width="11" style="8" customWidth="1"/>
    <col min="5409" max="5409" width="10.140625" style="8" customWidth="1"/>
    <col min="5410" max="5410" width="23.28515625" style="8" bestFit="1" customWidth="1"/>
    <col min="5411" max="5419" width="11.5703125" style="8" customWidth="1"/>
    <col min="5420" max="5420" width="5.7109375" style="8" customWidth="1"/>
    <col min="5421" max="5421" width="11.5703125" style="8" customWidth="1"/>
    <col min="5422" max="5422" width="23.28515625" style="8" bestFit="1" customWidth="1"/>
    <col min="5423" max="5436" width="11.85546875" style="8" customWidth="1"/>
    <col min="5437" max="5437" width="9.7109375" style="8" customWidth="1"/>
    <col min="5438" max="5438" width="23.28515625" style="8" bestFit="1" customWidth="1"/>
    <col min="5439" max="5454" width="11.7109375" style="8" customWidth="1"/>
    <col min="5455" max="5455" width="4.42578125" style="8" customWidth="1"/>
    <col min="5456" max="5456" width="8.7109375" style="8" customWidth="1"/>
    <col min="5457" max="5457" width="23.28515625" style="8" bestFit="1" customWidth="1"/>
    <col min="5458" max="5469" width="11.28515625" style="8" customWidth="1"/>
    <col min="5470" max="5470" width="5.28515625" style="8" customWidth="1"/>
    <col min="5471" max="5471" width="9.5703125" style="8" customWidth="1"/>
    <col min="5472" max="5472" width="23.28515625" style="8" bestFit="1" customWidth="1"/>
    <col min="5473" max="5479" width="15.42578125" style="8" customWidth="1"/>
    <col min="5480" max="5480" width="6.7109375" style="8" customWidth="1"/>
    <col min="5481" max="5481" width="9" style="8" customWidth="1"/>
    <col min="5482" max="5482" width="23.28515625" style="8" bestFit="1" customWidth="1"/>
    <col min="5483" max="5492" width="11.140625" style="8" customWidth="1"/>
    <col min="5493" max="5493" width="6.7109375" style="8" customWidth="1"/>
    <col min="5494" max="5494" width="10.7109375" style="8" customWidth="1"/>
    <col min="5495" max="5495" width="23.28515625" style="8" bestFit="1" customWidth="1"/>
    <col min="5496" max="5506" width="13.7109375" style="8" customWidth="1"/>
    <col min="5507" max="5507" width="5" style="8" customWidth="1"/>
    <col min="5508" max="5508" width="9.28515625" style="8" customWidth="1"/>
    <col min="5509" max="5509" width="23.28515625" style="8" bestFit="1" customWidth="1"/>
    <col min="5510" max="5512" width="11.28515625" style="8" bestFit="1" customWidth="1"/>
    <col min="5513" max="5513" width="3" style="8" customWidth="1"/>
    <col min="5514" max="5514" width="8.42578125" style="8" customWidth="1"/>
    <col min="5515" max="5515" width="23.28515625" style="8" bestFit="1" customWidth="1"/>
    <col min="5516" max="5529" width="11.85546875" style="8" customWidth="1"/>
    <col min="5530" max="5530" width="14.28515625" style="8" bestFit="1" customWidth="1"/>
    <col min="5531" max="5531" width="4.28515625" style="8" customWidth="1"/>
    <col min="5532" max="5532" width="10.7109375" style="8" customWidth="1"/>
    <col min="5533" max="5533" width="23.28515625" style="8" bestFit="1" customWidth="1"/>
    <col min="5534" max="5543" width="11.28515625" style="8" customWidth="1"/>
    <col min="5544" max="5544" width="23.28515625" style="8" bestFit="1" customWidth="1"/>
    <col min="5545" max="5549" width="11.28515625" style="8" customWidth="1"/>
    <col min="5550" max="5644" width="11.5703125" style="8"/>
    <col min="5645" max="5645" width="9.85546875" style="8" customWidth="1"/>
    <col min="5646" max="5646" width="23.28515625" style="8" bestFit="1" customWidth="1"/>
    <col min="5647" max="5664" width="11" style="8" customWidth="1"/>
    <col min="5665" max="5665" width="10.140625" style="8" customWidth="1"/>
    <col min="5666" max="5666" width="23.28515625" style="8" bestFit="1" customWidth="1"/>
    <col min="5667" max="5675" width="11.5703125" style="8" customWidth="1"/>
    <col min="5676" max="5676" width="5.7109375" style="8" customWidth="1"/>
    <col min="5677" max="5677" width="11.5703125" style="8" customWidth="1"/>
    <col min="5678" max="5678" width="23.28515625" style="8" bestFit="1" customWidth="1"/>
    <col min="5679" max="5692" width="11.85546875" style="8" customWidth="1"/>
    <col min="5693" max="5693" width="9.7109375" style="8" customWidth="1"/>
    <col min="5694" max="5694" width="23.28515625" style="8" bestFit="1" customWidth="1"/>
    <col min="5695" max="5710" width="11.7109375" style="8" customWidth="1"/>
    <col min="5711" max="5711" width="4.42578125" style="8" customWidth="1"/>
    <col min="5712" max="5712" width="8.7109375" style="8" customWidth="1"/>
    <col min="5713" max="5713" width="23.28515625" style="8" bestFit="1" customWidth="1"/>
    <col min="5714" max="5725" width="11.28515625" style="8" customWidth="1"/>
    <col min="5726" max="5726" width="5.28515625" style="8" customWidth="1"/>
    <col min="5727" max="5727" width="9.5703125" style="8" customWidth="1"/>
    <col min="5728" max="5728" width="23.28515625" style="8" bestFit="1" customWidth="1"/>
    <col min="5729" max="5735" width="15.42578125" style="8" customWidth="1"/>
    <col min="5736" max="5736" width="6.7109375" style="8" customWidth="1"/>
    <col min="5737" max="5737" width="9" style="8" customWidth="1"/>
    <col min="5738" max="5738" width="23.28515625" style="8" bestFit="1" customWidth="1"/>
    <col min="5739" max="5748" width="11.140625" style="8" customWidth="1"/>
    <col min="5749" max="5749" width="6.7109375" style="8" customWidth="1"/>
    <col min="5750" max="5750" width="10.7109375" style="8" customWidth="1"/>
    <col min="5751" max="5751" width="23.28515625" style="8" bestFit="1" customWidth="1"/>
    <col min="5752" max="5762" width="13.7109375" style="8" customWidth="1"/>
    <col min="5763" max="5763" width="5" style="8" customWidth="1"/>
    <col min="5764" max="5764" width="9.28515625" style="8" customWidth="1"/>
    <col min="5765" max="5765" width="23.28515625" style="8" bestFit="1" customWidth="1"/>
    <col min="5766" max="5768" width="11.28515625" style="8" bestFit="1" customWidth="1"/>
    <col min="5769" max="5769" width="3" style="8" customWidth="1"/>
    <col min="5770" max="5770" width="8.42578125" style="8" customWidth="1"/>
    <col min="5771" max="5771" width="23.28515625" style="8" bestFit="1" customWidth="1"/>
    <col min="5772" max="5785" width="11.85546875" style="8" customWidth="1"/>
    <col min="5786" max="5786" width="14.28515625" style="8" bestFit="1" customWidth="1"/>
    <col min="5787" max="5787" width="4.28515625" style="8" customWidth="1"/>
    <col min="5788" max="5788" width="10.7109375" style="8" customWidth="1"/>
    <col min="5789" max="5789" width="23.28515625" style="8" bestFit="1" customWidth="1"/>
    <col min="5790" max="5799" width="11.28515625" style="8" customWidth="1"/>
    <col min="5800" max="5800" width="23.28515625" style="8" bestFit="1" customWidth="1"/>
    <col min="5801" max="5805" width="11.28515625" style="8" customWidth="1"/>
    <col min="5806" max="5900" width="11.5703125" style="8"/>
    <col min="5901" max="5901" width="9.85546875" style="8" customWidth="1"/>
    <col min="5902" max="5902" width="23.28515625" style="8" bestFit="1" customWidth="1"/>
    <col min="5903" max="5920" width="11" style="8" customWidth="1"/>
    <col min="5921" max="5921" width="10.140625" style="8" customWidth="1"/>
    <col min="5922" max="5922" width="23.28515625" style="8" bestFit="1" customWidth="1"/>
    <col min="5923" max="5931" width="11.5703125" style="8" customWidth="1"/>
    <col min="5932" max="5932" width="5.7109375" style="8" customWidth="1"/>
    <col min="5933" max="5933" width="11.5703125" style="8" customWidth="1"/>
    <col min="5934" max="5934" width="23.28515625" style="8" bestFit="1" customWidth="1"/>
    <col min="5935" max="5948" width="11.85546875" style="8" customWidth="1"/>
    <col min="5949" max="5949" width="9.7109375" style="8" customWidth="1"/>
    <col min="5950" max="5950" width="23.28515625" style="8" bestFit="1" customWidth="1"/>
    <col min="5951" max="5966" width="11.7109375" style="8" customWidth="1"/>
    <col min="5967" max="5967" width="4.42578125" style="8" customWidth="1"/>
    <col min="5968" max="5968" width="8.7109375" style="8" customWidth="1"/>
    <col min="5969" max="5969" width="23.28515625" style="8" bestFit="1" customWidth="1"/>
    <col min="5970" max="5981" width="11.28515625" style="8" customWidth="1"/>
    <col min="5982" max="5982" width="5.28515625" style="8" customWidth="1"/>
    <col min="5983" max="5983" width="9.5703125" style="8" customWidth="1"/>
    <col min="5984" max="5984" width="23.28515625" style="8" bestFit="1" customWidth="1"/>
    <col min="5985" max="5991" width="15.42578125" style="8" customWidth="1"/>
    <col min="5992" max="5992" width="6.7109375" style="8" customWidth="1"/>
    <col min="5993" max="5993" width="9" style="8" customWidth="1"/>
    <col min="5994" max="5994" width="23.28515625" style="8" bestFit="1" customWidth="1"/>
    <col min="5995" max="6004" width="11.140625" style="8" customWidth="1"/>
    <col min="6005" max="6005" width="6.7109375" style="8" customWidth="1"/>
    <col min="6006" max="6006" width="10.7109375" style="8" customWidth="1"/>
    <col min="6007" max="6007" width="23.28515625" style="8" bestFit="1" customWidth="1"/>
    <col min="6008" max="6018" width="13.7109375" style="8" customWidth="1"/>
    <col min="6019" max="6019" width="5" style="8" customWidth="1"/>
    <col min="6020" max="6020" width="9.28515625" style="8" customWidth="1"/>
    <col min="6021" max="6021" width="23.28515625" style="8" bestFit="1" customWidth="1"/>
    <col min="6022" max="6024" width="11.28515625" style="8" bestFit="1" customWidth="1"/>
    <col min="6025" max="6025" width="3" style="8" customWidth="1"/>
    <col min="6026" max="6026" width="8.42578125" style="8" customWidth="1"/>
    <col min="6027" max="6027" width="23.28515625" style="8" bestFit="1" customWidth="1"/>
    <col min="6028" max="6041" width="11.85546875" style="8" customWidth="1"/>
    <col min="6042" max="6042" width="14.28515625" style="8" bestFit="1" customWidth="1"/>
    <col min="6043" max="6043" width="4.28515625" style="8" customWidth="1"/>
    <col min="6044" max="6044" width="10.7109375" style="8" customWidth="1"/>
    <col min="6045" max="6045" width="23.28515625" style="8" bestFit="1" customWidth="1"/>
    <col min="6046" max="6055" width="11.28515625" style="8" customWidth="1"/>
    <col min="6056" max="6056" width="23.28515625" style="8" bestFit="1" customWidth="1"/>
    <col min="6057" max="6061" width="11.28515625" style="8" customWidth="1"/>
    <col min="6062" max="6156" width="11.5703125" style="8"/>
    <col min="6157" max="6157" width="9.85546875" style="8" customWidth="1"/>
    <col min="6158" max="6158" width="23.28515625" style="8" bestFit="1" customWidth="1"/>
    <col min="6159" max="6176" width="11" style="8" customWidth="1"/>
    <col min="6177" max="6177" width="10.140625" style="8" customWidth="1"/>
    <col min="6178" max="6178" width="23.28515625" style="8" bestFit="1" customWidth="1"/>
    <col min="6179" max="6187" width="11.5703125" style="8" customWidth="1"/>
    <col min="6188" max="6188" width="5.7109375" style="8" customWidth="1"/>
    <col min="6189" max="6189" width="11.5703125" style="8" customWidth="1"/>
    <col min="6190" max="6190" width="23.28515625" style="8" bestFit="1" customWidth="1"/>
    <col min="6191" max="6204" width="11.85546875" style="8" customWidth="1"/>
    <col min="6205" max="6205" width="9.7109375" style="8" customWidth="1"/>
    <col min="6206" max="6206" width="23.28515625" style="8" bestFit="1" customWidth="1"/>
    <col min="6207" max="6222" width="11.7109375" style="8" customWidth="1"/>
    <col min="6223" max="6223" width="4.42578125" style="8" customWidth="1"/>
    <col min="6224" max="6224" width="8.7109375" style="8" customWidth="1"/>
    <col min="6225" max="6225" width="23.28515625" style="8" bestFit="1" customWidth="1"/>
    <col min="6226" max="6237" width="11.28515625" style="8" customWidth="1"/>
    <col min="6238" max="6238" width="5.28515625" style="8" customWidth="1"/>
    <col min="6239" max="6239" width="9.5703125" style="8" customWidth="1"/>
    <col min="6240" max="6240" width="23.28515625" style="8" bestFit="1" customWidth="1"/>
    <col min="6241" max="6247" width="15.42578125" style="8" customWidth="1"/>
    <col min="6248" max="6248" width="6.7109375" style="8" customWidth="1"/>
    <col min="6249" max="6249" width="9" style="8" customWidth="1"/>
    <col min="6250" max="6250" width="23.28515625" style="8" bestFit="1" customWidth="1"/>
    <col min="6251" max="6260" width="11.140625" style="8" customWidth="1"/>
    <col min="6261" max="6261" width="6.7109375" style="8" customWidth="1"/>
    <col min="6262" max="6262" width="10.7109375" style="8" customWidth="1"/>
    <col min="6263" max="6263" width="23.28515625" style="8" bestFit="1" customWidth="1"/>
    <col min="6264" max="6274" width="13.7109375" style="8" customWidth="1"/>
    <col min="6275" max="6275" width="5" style="8" customWidth="1"/>
    <col min="6276" max="6276" width="9.28515625" style="8" customWidth="1"/>
    <col min="6277" max="6277" width="23.28515625" style="8" bestFit="1" customWidth="1"/>
    <col min="6278" max="6280" width="11.28515625" style="8" bestFit="1" customWidth="1"/>
    <col min="6281" max="6281" width="3" style="8" customWidth="1"/>
    <col min="6282" max="6282" width="8.42578125" style="8" customWidth="1"/>
    <col min="6283" max="6283" width="23.28515625" style="8" bestFit="1" customWidth="1"/>
    <col min="6284" max="6297" width="11.85546875" style="8" customWidth="1"/>
    <col min="6298" max="6298" width="14.28515625" style="8" bestFit="1" customWidth="1"/>
    <col min="6299" max="6299" width="4.28515625" style="8" customWidth="1"/>
    <col min="6300" max="6300" width="10.7109375" style="8" customWidth="1"/>
    <col min="6301" max="6301" width="23.28515625" style="8" bestFit="1" customWidth="1"/>
    <col min="6302" max="6311" width="11.28515625" style="8" customWidth="1"/>
    <col min="6312" max="6312" width="23.28515625" style="8" bestFit="1" customWidth="1"/>
    <col min="6313" max="6317" width="11.28515625" style="8" customWidth="1"/>
    <col min="6318" max="6412" width="11.5703125" style="8"/>
    <col min="6413" max="6413" width="9.85546875" style="8" customWidth="1"/>
    <col min="6414" max="6414" width="23.28515625" style="8" bestFit="1" customWidth="1"/>
    <col min="6415" max="6432" width="11" style="8" customWidth="1"/>
    <col min="6433" max="6433" width="10.140625" style="8" customWidth="1"/>
    <col min="6434" max="6434" width="23.28515625" style="8" bestFit="1" customWidth="1"/>
    <col min="6435" max="6443" width="11.5703125" style="8" customWidth="1"/>
    <col min="6444" max="6444" width="5.7109375" style="8" customWidth="1"/>
    <col min="6445" max="6445" width="11.5703125" style="8" customWidth="1"/>
    <col min="6446" max="6446" width="23.28515625" style="8" bestFit="1" customWidth="1"/>
    <col min="6447" max="6460" width="11.85546875" style="8" customWidth="1"/>
    <col min="6461" max="6461" width="9.7109375" style="8" customWidth="1"/>
    <col min="6462" max="6462" width="23.28515625" style="8" bestFit="1" customWidth="1"/>
    <col min="6463" max="6478" width="11.7109375" style="8" customWidth="1"/>
    <col min="6479" max="6479" width="4.42578125" style="8" customWidth="1"/>
    <col min="6480" max="6480" width="8.7109375" style="8" customWidth="1"/>
    <col min="6481" max="6481" width="23.28515625" style="8" bestFit="1" customWidth="1"/>
    <col min="6482" max="6493" width="11.28515625" style="8" customWidth="1"/>
    <col min="6494" max="6494" width="5.28515625" style="8" customWidth="1"/>
    <col min="6495" max="6495" width="9.5703125" style="8" customWidth="1"/>
    <col min="6496" max="6496" width="23.28515625" style="8" bestFit="1" customWidth="1"/>
    <col min="6497" max="6503" width="15.42578125" style="8" customWidth="1"/>
    <col min="6504" max="6504" width="6.7109375" style="8" customWidth="1"/>
    <col min="6505" max="6505" width="9" style="8" customWidth="1"/>
    <col min="6506" max="6506" width="23.28515625" style="8" bestFit="1" customWidth="1"/>
    <col min="6507" max="6516" width="11.140625" style="8" customWidth="1"/>
    <col min="6517" max="6517" width="6.7109375" style="8" customWidth="1"/>
    <col min="6518" max="6518" width="10.7109375" style="8" customWidth="1"/>
    <col min="6519" max="6519" width="23.28515625" style="8" bestFit="1" customWidth="1"/>
    <col min="6520" max="6530" width="13.7109375" style="8" customWidth="1"/>
    <col min="6531" max="6531" width="5" style="8" customWidth="1"/>
    <col min="6532" max="6532" width="9.28515625" style="8" customWidth="1"/>
    <col min="6533" max="6533" width="23.28515625" style="8" bestFit="1" customWidth="1"/>
    <col min="6534" max="6536" width="11.28515625" style="8" bestFit="1" customWidth="1"/>
    <col min="6537" max="6537" width="3" style="8" customWidth="1"/>
    <col min="6538" max="6538" width="8.42578125" style="8" customWidth="1"/>
    <col min="6539" max="6539" width="23.28515625" style="8" bestFit="1" customWidth="1"/>
    <col min="6540" max="6553" width="11.85546875" style="8" customWidth="1"/>
    <col min="6554" max="6554" width="14.28515625" style="8" bestFit="1" customWidth="1"/>
    <col min="6555" max="6555" width="4.28515625" style="8" customWidth="1"/>
    <col min="6556" max="6556" width="10.7109375" style="8" customWidth="1"/>
    <col min="6557" max="6557" width="23.28515625" style="8" bestFit="1" customWidth="1"/>
    <col min="6558" max="6567" width="11.28515625" style="8" customWidth="1"/>
    <col min="6568" max="6568" width="23.28515625" style="8" bestFit="1" customWidth="1"/>
    <col min="6569" max="6573" width="11.28515625" style="8" customWidth="1"/>
    <col min="6574" max="6668" width="11.5703125" style="8"/>
    <col min="6669" max="6669" width="9.85546875" style="8" customWidth="1"/>
    <col min="6670" max="6670" width="23.28515625" style="8" bestFit="1" customWidth="1"/>
    <col min="6671" max="6688" width="11" style="8" customWidth="1"/>
    <col min="6689" max="6689" width="10.140625" style="8" customWidth="1"/>
    <col min="6690" max="6690" width="23.28515625" style="8" bestFit="1" customWidth="1"/>
    <col min="6691" max="6699" width="11.5703125" style="8" customWidth="1"/>
    <col min="6700" max="6700" width="5.7109375" style="8" customWidth="1"/>
    <col min="6701" max="6701" width="11.5703125" style="8" customWidth="1"/>
    <col min="6702" max="6702" width="23.28515625" style="8" bestFit="1" customWidth="1"/>
    <col min="6703" max="6716" width="11.85546875" style="8" customWidth="1"/>
    <col min="6717" max="6717" width="9.7109375" style="8" customWidth="1"/>
    <col min="6718" max="6718" width="23.28515625" style="8" bestFit="1" customWidth="1"/>
    <col min="6719" max="6734" width="11.7109375" style="8" customWidth="1"/>
    <col min="6735" max="6735" width="4.42578125" style="8" customWidth="1"/>
    <col min="6736" max="6736" width="8.7109375" style="8" customWidth="1"/>
    <col min="6737" max="6737" width="23.28515625" style="8" bestFit="1" customWidth="1"/>
    <col min="6738" max="6749" width="11.28515625" style="8" customWidth="1"/>
    <col min="6750" max="6750" width="5.28515625" style="8" customWidth="1"/>
    <col min="6751" max="6751" width="9.5703125" style="8" customWidth="1"/>
    <col min="6752" max="6752" width="23.28515625" style="8" bestFit="1" customWidth="1"/>
    <col min="6753" max="6759" width="15.42578125" style="8" customWidth="1"/>
    <col min="6760" max="6760" width="6.7109375" style="8" customWidth="1"/>
    <col min="6761" max="6761" width="9" style="8" customWidth="1"/>
    <col min="6762" max="6762" width="23.28515625" style="8" bestFit="1" customWidth="1"/>
    <col min="6763" max="6772" width="11.140625" style="8" customWidth="1"/>
    <col min="6773" max="6773" width="6.7109375" style="8" customWidth="1"/>
    <col min="6774" max="6774" width="10.7109375" style="8" customWidth="1"/>
    <col min="6775" max="6775" width="23.28515625" style="8" bestFit="1" customWidth="1"/>
    <col min="6776" max="6786" width="13.7109375" style="8" customWidth="1"/>
    <col min="6787" max="6787" width="5" style="8" customWidth="1"/>
    <col min="6788" max="6788" width="9.28515625" style="8" customWidth="1"/>
    <col min="6789" max="6789" width="23.28515625" style="8" bestFit="1" customWidth="1"/>
    <col min="6790" max="6792" width="11.28515625" style="8" bestFit="1" customWidth="1"/>
    <col min="6793" max="6793" width="3" style="8" customWidth="1"/>
    <col min="6794" max="6794" width="8.42578125" style="8" customWidth="1"/>
    <col min="6795" max="6795" width="23.28515625" style="8" bestFit="1" customWidth="1"/>
    <col min="6796" max="6809" width="11.85546875" style="8" customWidth="1"/>
    <col min="6810" max="6810" width="14.28515625" style="8" bestFit="1" customWidth="1"/>
    <col min="6811" max="6811" width="4.28515625" style="8" customWidth="1"/>
    <col min="6812" max="6812" width="10.7109375" style="8" customWidth="1"/>
    <col min="6813" max="6813" width="23.28515625" style="8" bestFit="1" customWidth="1"/>
    <col min="6814" max="6823" width="11.28515625" style="8" customWidth="1"/>
    <col min="6824" max="6824" width="23.28515625" style="8" bestFit="1" customWidth="1"/>
    <col min="6825" max="6829" width="11.28515625" style="8" customWidth="1"/>
    <col min="6830" max="6924" width="11.5703125" style="8"/>
    <col min="6925" max="6925" width="9.85546875" style="8" customWidth="1"/>
    <col min="6926" max="6926" width="23.28515625" style="8" bestFit="1" customWidth="1"/>
    <col min="6927" max="6944" width="11" style="8" customWidth="1"/>
    <col min="6945" max="6945" width="10.140625" style="8" customWidth="1"/>
    <col min="6946" max="6946" width="23.28515625" style="8" bestFit="1" customWidth="1"/>
    <col min="6947" max="6955" width="11.5703125" style="8" customWidth="1"/>
    <col min="6956" max="6956" width="5.7109375" style="8" customWidth="1"/>
    <col min="6957" max="6957" width="11.5703125" style="8" customWidth="1"/>
    <col min="6958" max="6958" width="23.28515625" style="8" bestFit="1" customWidth="1"/>
    <col min="6959" max="6972" width="11.85546875" style="8" customWidth="1"/>
    <col min="6973" max="6973" width="9.7109375" style="8" customWidth="1"/>
    <col min="6974" max="6974" width="23.28515625" style="8" bestFit="1" customWidth="1"/>
    <col min="6975" max="6990" width="11.7109375" style="8" customWidth="1"/>
    <col min="6991" max="6991" width="4.42578125" style="8" customWidth="1"/>
    <col min="6992" max="6992" width="8.7109375" style="8" customWidth="1"/>
    <col min="6993" max="6993" width="23.28515625" style="8" bestFit="1" customWidth="1"/>
    <col min="6994" max="7005" width="11.28515625" style="8" customWidth="1"/>
    <col min="7006" max="7006" width="5.28515625" style="8" customWidth="1"/>
    <col min="7007" max="7007" width="9.5703125" style="8" customWidth="1"/>
    <col min="7008" max="7008" width="23.28515625" style="8" bestFit="1" customWidth="1"/>
    <col min="7009" max="7015" width="15.42578125" style="8" customWidth="1"/>
    <col min="7016" max="7016" width="6.7109375" style="8" customWidth="1"/>
    <col min="7017" max="7017" width="9" style="8" customWidth="1"/>
    <col min="7018" max="7018" width="23.28515625" style="8" bestFit="1" customWidth="1"/>
    <col min="7019" max="7028" width="11.140625" style="8" customWidth="1"/>
    <col min="7029" max="7029" width="6.7109375" style="8" customWidth="1"/>
    <col min="7030" max="7030" width="10.7109375" style="8" customWidth="1"/>
    <col min="7031" max="7031" width="23.28515625" style="8" bestFit="1" customWidth="1"/>
    <col min="7032" max="7042" width="13.7109375" style="8" customWidth="1"/>
    <col min="7043" max="7043" width="5" style="8" customWidth="1"/>
    <col min="7044" max="7044" width="9.28515625" style="8" customWidth="1"/>
    <col min="7045" max="7045" width="23.28515625" style="8" bestFit="1" customWidth="1"/>
    <col min="7046" max="7048" width="11.28515625" style="8" bestFit="1" customWidth="1"/>
    <col min="7049" max="7049" width="3" style="8" customWidth="1"/>
    <col min="7050" max="7050" width="8.42578125" style="8" customWidth="1"/>
    <col min="7051" max="7051" width="23.28515625" style="8" bestFit="1" customWidth="1"/>
    <col min="7052" max="7065" width="11.85546875" style="8" customWidth="1"/>
    <col min="7066" max="7066" width="14.28515625" style="8" bestFit="1" customWidth="1"/>
    <col min="7067" max="7067" width="4.28515625" style="8" customWidth="1"/>
    <col min="7068" max="7068" width="10.7109375" style="8" customWidth="1"/>
    <col min="7069" max="7069" width="23.28515625" style="8" bestFit="1" customWidth="1"/>
    <col min="7070" max="7079" width="11.28515625" style="8" customWidth="1"/>
    <col min="7080" max="7080" width="23.28515625" style="8" bestFit="1" customWidth="1"/>
    <col min="7081" max="7085" width="11.28515625" style="8" customWidth="1"/>
    <col min="7086" max="7180" width="11.5703125" style="8"/>
    <col min="7181" max="7181" width="9.85546875" style="8" customWidth="1"/>
    <col min="7182" max="7182" width="23.28515625" style="8" bestFit="1" customWidth="1"/>
    <col min="7183" max="7200" width="11" style="8" customWidth="1"/>
    <col min="7201" max="7201" width="10.140625" style="8" customWidth="1"/>
    <col min="7202" max="7202" width="23.28515625" style="8" bestFit="1" customWidth="1"/>
    <col min="7203" max="7211" width="11.5703125" style="8" customWidth="1"/>
    <col min="7212" max="7212" width="5.7109375" style="8" customWidth="1"/>
    <col min="7213" max="7213" width="11.5703125" style="8" customWidth="1"/>
    <col min="7214" max="7214" width="23.28515625" style="8" bestFit="1" customWidth="1"/>
    <col min="7215" max="7228" width="11.85546875" style="8" customWidth="1"/>
    <col min="7229" max="7229" width="9.7109375" style="8" customWidth="1"/>
    <col min="7230" max="7230" width="23.28515625" style="8" bestFit="1" customWidth="1"/>
    <col min="7231" max="7246" width="11.7109375" style="8" customWidth="1"/>
    <col min="7247" max="7247" width="4.42578125" style="8" customWidth="1"/>
    <col min="7248" max="7248" width="8.7109375" style="8" customWidth="1"/>
    <col min="7249" max="7249" width="23.28515625" style="8" bestFit="1" customWidth="1"/>
    <col min="7250" max="7261" width="11.28515625" style="8" customWidth="1"/>
    <col min="7262" max="7262" width="5.28515625" style="8" customWidth="1"/>
    <col min="7263" max="7263" width="9.5703125" style="8" customWidth="1"/>
    <col min="7264" max="7264" width="23.28515625" style="8" bestFit="1" customWidth="1"/>
    <col min="7265" max="7271" width="15.42578125" style="8" customWidth="1"/>
    <col min="7272" max="7272" width="6.7109375" style="8" customWidth="1"/>
    <col min="7273" max="7273" width="9" style="8" customWidth="1"/>
    <col min="7274" max="7274" width="23.28515625" style="8" bestFit="1" customWidth="1"/>
    <col min="7275" max="7284" width="11.140625" style="8" customWidth="1"/>
    <col min="7285" max="7285" width="6.7109375" style="8" customWidth="1"/>
    <col min="7286" max="7286" width="10.7109375" style="8" customWidth="1"/>
    <col min="7287" max="7287" width="23.28515625" style="8" bestFit="1" customWidth="1"/>
    <col min="7288" max="7298" width="13.7109375" style="8" customWidth="1"/>
    <col min="7299" max="7299" width="5" style="8" customWidth="1"/>
    <col min="7300" max="7300" width="9.28515625" style="8" customWidth="1"/>
    <col min="7301" max="7301" width="23.28515625" style="8" bestFit="1" customWidth="1"/>
    <col min="7302" max="7304" width="11.28515625" style="8" bestFit="1" customWidth="1"/>
    <col min="7305" max="7305" width="3" style="8" customWidth="1"/>
    <col min="7306" max="7306" width="8.42578125" style="8" customWidth="1"/>
    <col min="7307" max="7307" width="23.28515625" style="8" bestFit="1" customWidth="1"/>
    <col min="7308" max="7321" width="11.85546875" style="8" customWidth="1"/>
    <col min="7322" max="7322" width="14.28515625" style="8" bestFit="1" customWidth="1"/>
    <col min="7323" max="7323" width="4.28515625" style="8" customWidth="1"/>
    <col min="7324" max="7324" width="10.7109375" style="8" customWidth="1"/>
    <col min="7325" max="7325" width="23.28515625" style="8" bestFit="1" customWidth="1"/>
    <col min="7326" max="7335" width="11.28515625" style="8" customWidth="1"/>
    <col min="7336" max="7336" width="23.28515625" style="8" bestFit="1" customWidth="1"/>
    <col min="7337" max="7341" width="11.28515625" style="8" customWidth="1"/>
    <col min="7342" max="7436" width="11.5703125" style="8"/>
    <col min="7437" max="7437" width="9.85546875" style="8" customWidth="1"/>
    <col min="7438" max="7438" width="23.28515625" style="8" bestFit="1" customWidth="1"/>
    <col min="7439" max="7456" width="11" style="8" customWidth="1"/>
    <col min="7457" max="7457" width="10.140625" style="8" customWidth="1"/>
    <col min="7458" max="7458" width="23.28515625" style="8" bestFit="1" customWidth="1"/>
    <col min="7459" max="7467" width="11.5703125" style="8" customWidth="1"/>
    <col min="7468" max="7468" width="5.7109375" style="8" customWidth="1"/>
    <col min="7469" max="7469" width="11.5703125" style="8" customWidth="1"/>
    <col min="7470" max="7470" width="23.28515625" style="8" bestFit="1" customWidth="1"/>
    <col min="7471" max="7484" width="11.85546875" style="8" customWidth="1"/>
    <col min="7485" max="7485" width="9.7109375" style="8" customWidth="1"/>
    <col min="7486" max="7486" width="23.28515625" style="8" bestFit="1" customWidth="1"/>
    <col min="7487" max="7502" width="11.7109375" style="8" customWidth="1"/>
    <col min="7503" max="7503" width="4.42578125" style="8" customWidth="1"/>
    <col min="7504" max="7504" width="8.7109375" style="8" customWidth="1"/>
    <col min="7505" max="7505" width="23.28515625" style="8" bestFit="1" customWidth="1"/>
    <col min="7506" max="7517" width="11.28515625" style="8" customWidth="1"/>
    <col min="7518" max="7518" width="5.28515625" style="8" customWidth="1"/>
    <col min="7519" max="7519" width="9.5703125" style="8" customWidth="1"/>
    <col min="7520" max="7520" width="23.28515625" style="8" bestFit="1" customWidth="1"/>
    <col min="7521" max="7527" width="15.42578125" style="8" customWidth="1"/>
    <col min="7528" max="7528" width="6.7109375" style="8" customWidth="1"/>
    <col min="7529" max="7529" width="9" style="8" customWidth="1"/>
    <col min="7530" max="7530" width="23.28515625" style="8" bestFit="1" customWidth="1"/>
    <col min="7531" max="7540" width="11.140625" style="8" customWidth="1"/>
    <col min="7541" max="7541" width="6.7109375" style="8" customWidth="1"/>
    <col min="7542" max="7542" width="10.7109375" style="8" customWidth="1"/>
    <col min="7543" max="7543" width="23.28515625" style="8" bestFit="1" customWidth="1"/>
    <col min="7544" max="7554" width="13.7109375" style="8" customWidth="1"/>
    <col min="7555" max="7555" width="5" style="8" customWidth="1"/>
    <col min="7556" max="7556" width="9.28515625" style="8" customWidth="1"/>
    <col min="7557" max="7557" width="23.28515625" style="8" bestFit="1" customWidth="1"/>
    <col min="7558" max="7560" width="11.28515625" style="8" bestFit="1" customWidth="1"/>
    <col min="7561" max="7561" width="3" style="8" customWidth="1"/>
    <col min="7562" max="7562" width="8.42578125" style="8" customWidth="1"/>
    <col min="7563" max="7563" width="23.28515625" style="8" bestFit="1" customWidth="1"/>
    <col min="7564" max="7577" width="11.85546875" style="8" customWidth="1"/>
    <col min="7578" max="7578" width="14.28515625" style="8" bestFit="1" customWidth="1"/>
    <col min="7579" max="7579" width="4.28515625" style="8" customWidth="1"/>
    <col min="7580" max="7580" width="10.7109375" style="8" customWidth="1"/>
    <col min="7581" max="7581" width="23.28515625" style="8" bestFit="1" customWidth="1"/>
    <col min="7582" max="7591" width="11.28515625" style="8" customWidth="1"/>
    <col min="7592" max="7592" width="23.28515625" style="8" bestFit="1" customWidth="1"/>
    <col min="7593" max="7597" width="11.28515625" style="8" customWidth="1"/>
    <col min="7598" max="7692" width="11.5703125" style="8"/>
    <col min="7693" max="7693" width="9.85546875" style="8" customWidth="1"/>
    <col min="7694" max="7694" width="23.28515625" style="8" bestFit="1" customWidth="1"/>
    <col min="7695" max="7712" width="11" style="8" customWidth="1"/>
    <col min="7713" max="7713" width="10.140625" style="8" customWidth="1"/>
    <col min="7714" max="7714" width="23.28515625" style="8" bestFit="1" customWidth="1"/>
    <col min="7715" max="7723" width="11.5703125" style="8" customWidth="1"/>
    <col min="7724" max="7724" width="5.7109375" style="8" customWidth="1"/>
    <col min="7725" max="7725" width="11.5703125" style="8" customWidth="1"/>
    <col min="7726" max="7726" width="23.28515625" style="8" bestFit="1" customWidth="1"/>
    <col min="7727" max="7740" width="11.85546875" style="8" customWidth="1"/>
    <col min="7741" max="7741" width="9.7109375" style="8" customWidth="1"/>
    <col min="7742" max="7742" width="23.28515625" style="8" bestFit="1" customWidth="1"/>
    <col min="7743" max="7758" width="11.7109375" style="8" customWidth="1"/>
    <col min="7759" max="7759" width="4.42578125" style="8" customWidth="1"/>
    <col min="7760" max="7760" width="8.7109375" style="8" customWidth="1"/>
    <col min="7761" max="7761" width="23.28515625" style="8" bestFit="1" customWidth="1"/>
    <col min="7762" max="7773" width="11.28515625" style="8" customWidth="1"/>
    <col min="7774" max="7774" width="5.28515625" style="8" customWidth="1"/>
    <col min="7775" max="7775" width="9.5703125" style="8" customWidth="1"/>
    <col min="7776" max="7776" width="23.28515625" style="8" bestFit="1" customWidth="1"/>
    <col min="7777" max="7783" width="15.42578125" style="8" customWidth="1"/>
    <col min="7784" max="7784" width="6.7109375" style="8" customWidth="1"/>
    <col min="7785" max="7785" width="9" style="8" customWidth="1"/>
    <col min="7786" max="7786" width="23.28515625" style="8" bestFit="1" customWidth="1"/>
    <col min="7787" max="7796" width="11.140625" style="8" customWidth="1"/>
    <col min="7797" max="7797" width="6.7109375" style="8" customWidth="1"/>
    <col min="7798" max="7798" width="10.7109375" style="8" customWidth="1"/>
    <col min="7799" max="7799" width="23.28515625" style="8" bestFit="1" customWidth="1"/>
    <col min="7800" max="7810" width="13.7109375" style="8" customWidth="1"/>
    <col min="7811" max="7811" width="5" style="8" customWidth="1"/>
    <col min="7812" max="7812" width="9.28515625" style="8" customWidth="1"/>
    <col min="7813" max="7813" width="23.28515625" style="8" bestFit="1" customWidth="1"/>
    <col min="7814" max="7816" width="11.28515625" style="8" bestFit="1" customWidth="1"/>
    <col min="7817" max="7817" width="3" style="8" customWidth="1"/>
    <col min="7818" max="7818" width="8.42578125" style="8" customWidth="1"/>
    <col min="7819" max="7819" width="23.28515625" style="8" bestFit="1" customWidth="1"/>
    <col min="7820" max="7833" width="11.85546875" style="8" customWidth="1"/>
    <col min="7834" max="7834" width="14.28515625" style="8" bestFit="1" customWidth="1"/>
    <col min="7835" max="7835" width="4.28515625" style="8" customWidth="1"/>
    <col min="7836" max="7836" width="10.7109375" style="8" customWidth="1"/>
    <col min="7837" max="7837" width="23.28515625" style="8" bestFit="1" customWidth="1"/>
    <col min="7838" max="7847" width="11.28515625" style="8" customWidth="1"/>
    <col min="7848" max="7848" width="23.28515625" style="8" bestFit="1" customWidth="1"/>
    <col min="7849" max="7853" width="11.28515625" style="8" customWidth="1"/>
    <col min="7854" max="7948" width="11.5703125" style="8"/>
    <col min="7949" max="7949" width="9.85546875" style="8" customWidth="1"/>
    <col min="7950" max="7950" width="23.28515625" style="8" bestFit="1" customWidth="1"/>
    <col min="7951" max="7968" width="11" style="8" customWidth="1"/>
    <col min="7969" max="7969" width="10.140625" style="8" customWidth="1"/>
    <col min="7970" max="7970" width="23.28515625" style="8" bestFit="1" customWidth="1"/>
    <col min="7971" max="7979" width="11.5703125" style="8" customWidth="1"/>
    <col min="7980" max="7980" width="5.7109375" style="8" customWidth="1"/>
    <col min="7981" max="7981" width="11.5703125" style="8" customWidth="1"/>
    <col min="7982" max="7982" width="23.28515625" style="8" bestFit="1" customWidth="1"/>
    <col min="7983" max="7996" width="11.85546875" style="8" customWidth="1"/>
    <col min="7997" max="7997" width="9.7109375" style="8" customWidth="1"/>
    <col min="7998" max="7998" width="23.28515625" style="8" bestFit="1" customWidth="1"/>
    <col min="7999" max="8014" width="11.7109375" style="8" customWidth="1"/>
    <col min="8015" max="8015" width="4.42578125" style="8" customWidth="1"/>
    <col min="8016" max="8016" width="8.7109375" style="8" customWidth="1"/>
    <col min="8017" max="8017" width="23.28515625" style="8" bestFit="1" customWidth="1"/>
    <col min="8018" max="8029" width="11.28515625" style="8" customWidth="1"/>
    <col min="8030" max="8030" width="5.28515625" style="8" customWidth="1"/>
    <col min="8031" max="8031" width="9.5703125" style="8" customWidth="1"/>
    <col min="8032" max="8032" width="23.28515625" style="8" bestFit="1" customWidth="1"/>
    <col min="8033" max="8039" width="15.42578125" style="8" customWidth="1"/>
    <col min="8040" max="8040" width="6.7109375" style="8" customWidth="1"/>
    <col min="8041" max="8041" width="9" style="8" customWidth="1"/>
    <col min="8042" max="8042" width="23.28515625" style="8" bestFit="1" customWidth="1"/>
    <col min="8043" max="8052" width="11.140625" style="8" customWidth="1"/>
    <col min="8053" max="8053" width="6.7109375" style="8" customWidth="1"/>
    <col min="8054" max="8054" width="10.7109375" style="8" customWidth="1"/>
    <col min="8055" max="8055" width="23.28515625" style="8" bestFit="1" customWidth="1"/>
    <col min="8056" max="8066" width="13.7109375" style="8" customWidth="1"/>
    <col min="8067" max="8067" width="5" style="8" customWidth="1"/>
    <col min="8068" max="8068" width="9.28515625" style="8" customWidth="1"/>
    <col min="8069" max="8069" width="23.28515625" style="8" bestFit="1" customWidth="1"/>
    <col min="8070" max="8072" width="11.28515625" style="8" bestFit="1" customWidth="1"/>
    <col min="8073" max="8073" width="3" style="8" customWidth="1"/>
    <col min="8074" max="8074" width="8.42578125" style="8" customWidth="1"/>
    <col min="8075" max="8075" width="23.28515625" style="8" bestFit="1" customWidth="1"/>
    <col min="8076" max="8089" width="11.85546875" style="8" customWidth="1"/>
    <col min="8090" max="8090" width="14.28515625" style="8" bestFit="1" customWidth="1"/>
    <col min="8091" max="8091" width="4.28515625" style="8" customWidth="1"/>
    <col min="8092" max="8092" width="10.7109375" style="8" customWidth="1"/>
    <col min="8093" max="8093" width="23.28515625" style="8" bestFit="1" customWidth="1"/>
    <col min="8094" max="8103" width="11.28515625" style="8" customWidth="1"/>
    <col min="8104" max="8104" width="23.28515625" style="8" bestFit="1" customWidth="1"/>
    <col min="8105" max="8109" width="11.28515625" style="8" customWidth="1"/>
    <col min="8110" max="8204" width="11.5703125" style="8"/>
    <col min="8205" max="8205" width="9.85546875" style="8" customWidth="1"/>
    <col min="8206" max="8206" width="23.28515625" style="8" bestFit="1" customWidth="1"/>
    <col min="8207" max="8224" width="11" style="8" customWidth="1"/>
    <col min="8225" max="8225" width="10.140625" style="8" customWidth="1"/>
    <col min="8226" max="8226" width="23.28515625" style="8" bestFit="1" customWidth="1"/>
    <col min="8227" max="8235" width="11.5703125" style="8" customWidth="1"/>
    <col min="8236" max="8236" width="5.7109375" style="8" customWidth="1"/>
    <col min="8237" max="8237" width="11.5703125" style="8" customWidth="1"/>
    <col min="8238" max="8238" width="23.28515625" style="8" bestFit="1" customWidth="1"/>
    <col min="8239" max="8252" width="11.85546875" style="8" customWidth="1"/>
    <col min="8253" max="8253" width="9.7109375" style="8" customWidth="1"/>
    <col min="8254" max="8254" width="23.28515625" style="8" bestFit="1" customWidth="1"/>
    <col min="8255" max="8270" width="11.7109375" style="8" customWidth="1"/>
    <col min="8271" max="8271" width="4.42578125" style="8" customWidth="1"/>
    <col min="8272" max="8272" width="8.7109375" style="8" customWidth="1"/>
    <col min="8273" max="8273" width="23.28515625" style="8" bestFit="1" customWidth="1"/>
    <col min="8274" max="8285" width="11.28515625" style="8" customWidth="1"/>
    <col min="8286" max="8286" width="5.28515625" style="8" customWidth="1"/>
    <col min="8287" max="8287" width="9.5703125" style="8" customWidth="1"/>
    <col min="8288" max="8288" width="23.28515625" style="8" bestFit="1" customWidth="1"/>
    <col min="8289" max="8295" width="15.42578125" style="8" customWidth="1"/>
    <col min="8296" max="8296" width="6.7109375" style="8" customWidth="1"/>
    <col min="8297" max="8297" width="9" style="8" customWidth="1"/>
    <col min="8298" max="8298" width="23.28515625" style="8" bestFit="1" customWidth="1"/>
    <col min="8299" max="8308" width="11.140625" style="8" customWidth="1"/>
    <col min="8309" max="8309" width="6.7109375" style="8" customWidth="1"/>
    <col min="8310" max="8310" width="10.7109375" style="8" customWidth="1"/>
    <col min="8311" max="8311" width="23.28515625" style="8" bestFit="1" customWidth="1"/>
    <col min="8312" max="8322" width="13.7109375" style="8" customWidth="1"/>
    <col min="8323" max="8323" width="5" style="8" customWidth="1"/>
    <col min="8324" max="8324" width="9.28515625" style="8" customWidth="1"/>
    <col min="8325" max="8325" width="23.28515625" style="8" bestFit="1" customWidth="1"/>
    <col min="8326" max="8328" width="11.28515625" style="8" bestFit="1" customWidth="1"/>
    <col min="8329" max="8329" width="3" style="8" customWidth="1"/>
    <col min="8330" max="8330" width="8.42578125" style="8" customWidth="1"/>
    <col min="8331" max="8331" width="23.28515625" style="8" bestFit="1" customWidth="1"/>
    <col min="8332" max="8345" width="11.85546875" style="8" customWidth="1"/>
    <col min="8346" max="8346" width="14.28515625" style="8" bestFit="1" customWidth="1"/>
    <col min="8347" max="8347" width="4.28515625" style="8" customWidth="1"/>
    <col min="8348" max="8348" width="10.7109375" style="8" customWidth="1"/>
    <col min="8349" max="8349" width="23.28515625" style="8" bestFit="1" customWidth="1"/>
    <col min="8350" max="8359" width="11.28515625" style="8" customWidth="1"/>
    <col min="8360" max="8360" width="23.28515625" style="8" bestFit="1" customWidth="1"/>
    <col min="8361" max="8365" width="11.28515625" style="8" customWidth="1"/>
    <col min="8366" max="8460" width="11.5703125" style="8"/>
    <col min="8461" max="8461" width="9.85546875" style="8" customWidth="1"/>
    <col min="8462" max="8462" width="23.28515625" style="8" bestFit="1" customWidth="1"/>
    <col min="8463" max="8480" width="11" style="8" customWidth="1"/>
    <col min="8481" max="8481" width="10.140625" style="8" customWidth="1"/>
    <col min="8482" max="8482" width="23.28515625" style="8" bestFit="1" customWidth="1"/>
    <col min="8483" max="8491" width="11.5703125" style="8" customWidth="1"/>
    <col min="8492" max="8492" width="5.7109375" style="8" customWidth="1"/>
    <col min="8493" max="8493" width="11.5703125" style="8" customWidth="1"/>
    <col min="8494" max="8494" width="23.28515625" style="8" bestFit="1" customWidth="1"/>
    <col min="8495" max="8508" width="11.85546875" style="8" customWidth="1"/>
    <col min="8509" max="8509" width="9.7109375" style="8" customWidth="1"/>
    <col min="8510" max="8510" width="23.28515625" style="8" bestFit="1" customWidth="1"/>
    <col min="8511" max="8526" width="11.7109375" style="8" customWidth="1"/>
    <col min="8527" max="8527" width="4.42578125" style="8" customWidth="1"/>
    <col min="8528" max="8528" width="8.7109375" style="8" customWidth="1"/>
    <col min="8529" max="8529" width="23.28515625" style="8" bestFit="1" customWidth="1"/>
    <col min="8530" max="8541" width="11.28515625" style="8" customWidth="1"/>
    <col min="8542" max="8542" width="5.28515625" style="8" customWidth="1"/>
    <col min="8543" max="8543" width="9.5703125" style="8" customWidth="1"/>
    <col min="8544" max="8544" width="23.28515625" style="8" bestFit="1" customWidth="1"/>
    <col min="8545" max="8551" width="15.42578125" style="8" customWidth="1"/>
    <col min="8552" max="8552" width="6.7109375" style="8" customWidth="1"/>
    <col min="8553" max="8553" width="9" style="8" customWidth="1"/>
    <col min="8554" max="8554" width="23.28515625" style="8" bestFit="1" customWidth="1"/>
    <col min="8555" max="8564" width="11.140625" style="8" customWidth="1"/>
    <col min="8565" max="8565" width="6.7109375" style="8" customWidth="1"/>
    <col min="8566" max="8566" width="10.7109375" style="8" customWidth="1"/>
    <col min="8567" max="8567" width="23.28515625" style="8" bestFit="1" customWidth="1"/>
    <col min="8568" max="8578" width="13.7109375" style="8" customWidth="1"/>
    <col min="8579" max="8579" width="5" style="8" customWidth="1"/>
    <col min="8580" max="8580" width="9.28515625" style="8" customWidth="1"/>
    <col min="8581" max="8581" width="23.28515625" style="8" bestFit="1" customWidth="1"/>
    <col min="8582" max="8584" width="11.28515625" style="8" bestFit="1" customWidth="1"/>
    <col min="8585" max="8585" width="3" style="8" customWidth="1"/>
    <col min="8586" max="8586" width="8.42578125" style="8" customWidth="1"/>
    <col min="8587" max="8587" width="23.28515625" style="8" bestFit="1" customWidth="1"/>
    <col min="8588" max="8601" width="11.85546875" style="8" customWidth="1"/>
    <col min="8602" max="8602" width="14.28515625" style="8" bestFit="1" customWidth="1"/>
    <col min="8603" max="8603" width="4.28515625" style="8" customWidth="1"/>
    <col min="8604" max="8604" width="10.7109375" style="8" customWidth="1"/>
    <col min="8605" max="8605" width="23.28515625" style="8" bestFit="1" customWidth="1"/>
    <col min="8606" max="8615" width="11.28515625" style="8" customWidth="1"/>
    <col min="8616" max="8616" width="23.28515625" style="8" bestFit="1" customWidth="1"/>
    <col min="8617" max="8621" width="11.28515625" style="8" customWidth="1"/>
    <col min="8622" max="8716" width="11.5703125" style="8"/>
    <col min="8717" max="8717" width="9.85546875" style="8" customWidth="1"/>
    <col min="8718" max="8718" width="23.28515625" style="8" bestFit="1" customWidth="1"/>
    <col min="8719" max="8736" width="11" style="8" customWidth="1"/>
    <col min="8737" max="8737" width="10.140625" style="8" customWidth="1"/>
    <col min="8738" max="8738" width="23.28515625" style="8" bestFit="1" customWidth="1"/>
    <col min="8739" max="8747" width="11.5703125" style="8" customWidth="1"/>
    <col min="8748" max="8748" width="5.7109375" style="8" customWidth="1"/>
    <col min="8749" max="8749" width="11.5703125" style="8" customWidth="1"/>
    <col min="8750" max="8750" width="23.28515625" style="8" bestFit="1" customWidth="1"/>
    <col min="8751" max="8764" width="11.85546875" style="8" customWidth="1"/>
    <col min="8765" max="8765" width="9.7109375" style="8" customWidth="1"/>
    <col min="8766" max="8766" width="23.28515625" style="8" bestFit="1" customWidth="1"/>
    <col min="8767" max="8782" width="11.7109375" style="8" customWidth="1"/>
    <col min="8783" max="8783" width="4.42578125" style="8" customWidth="1"/>
    <col min="8784" max="8784" width="8.7109375" style="8" customWidth="1"/>
    <col min="8785" max="8785" width="23.28515625" style="8" bestFit="1" customWidth="1"/>
    <col min="8786" max="8797" width="11.28515625" style="8" customWidth="1"/>
    <col min="8798" max="8798" width="5.28515625" style="8" customWidth="1"/>
    <col min="8799" max="8799" width="9.5703125" style="8" customWidth="1"/>
    <col min="8800" max="8800" width="23.28515625" style="8" bestFit="1" customWidth="1"/>
    <col min="8801" max="8807" width="15.42578125" style="8" customWidth="1"/>
    <col min="8808" max="8808" width="6.7109375" style="8" customWidth="1"/>
    <col min="8809" max="8809" width="9" style="8" customWidth="1"/>
    <col min="8810" max="8810" width="23.28515625" style="8" bestFit="1" customWidth="1"/>
    <col min="8811" max="8820" width="11.140625" style="8" customWidth="1"/>
    <col min="8821" max="8821" width="6.7109375" style="8" customWidth="1"/>
    <col min="8822" max="8822" width="10.7109375" style="8" customWidth="1"/>
    <col min="8823" max="8823" width="23.28515625" style="8" bestFit="1" customWidth="1"/>
    <col min="8824" max="8834" width="13.7109375" style="8" customWidth="1"/>
    <col min="8835" max="8835" width="5" style="8" customWidth="1"/>
    <col min="8836" max="8836" width="9.28515625" style="8" customWidth="1"/>
    <col min="8837" max="8837" width="23.28515625" style="8" bestFit="1" customWidth="1"/>
    <col min="8838" max="8840" width="11.28515625" style="8" bestFit="1" customWidth="1"/>
    <col min="8841" max="8841" width="3" style="8" customWidth="1"/>
    <col min="8842" max="8842" width="8.42578125" style="8" customWidth="1"/>
    <col min="8843" max="8843" width="23.28515625" style="8" bestFit="1" customWidth="1"/>
    <col min="8844" max="8857" width="11.85546875" style="8" customWidth="1"/>
    <col min="8858" max="8858" width="14.28515625" style="8" bestFit="1" customWidth="1"/>
    <col min="8859" max="8859" width="4.28515625" style="8" customWidth="1"/>
    <col min="8860" max="8860" width="10.7109375" style="8" customWidth="1"/>
    <col min="8861" max="8861" width="23.28515625" style="8" bestFit="1" customWidth="1"/>
    <col min="8862" max="8871" width="11.28515625" style="8" customWidth="1"/>
    <col min="8872" max="8872" width="23.28515625" style="8" bestFit="1" customWidth="1"/>
    <col min="8873" max="8877" width="11.28515625" style="8" customWidth="1"/>
    <col min="8878" max="8972" width="11.5703125" style="8"/>
    <col min="8973" max="8973" width="9.85546875" style="8" customWidth="1"/>
    <col min="8974" max="8974" width="23.28515625" style="8" bestFit="1" customWidth="1"/>
    <col min="8975" max="8992" width="11" style="8" customWidth="1"/>
    <col min="8993" max="8993" width="10.140625" style="8" customWidth="1"/>
    <col min="8994" max="8994" width="23.28515625" style="8" bestFit="1" customWidth="1"/>
    <col min="8995" max="9003" width="11.5703125" style="8" customWidth="1"/>
    <col min="9004" max="9004" width="5.7109375" style="8" customWidth="1"/>
    <col min="9005" max="9005" width="11.5703125" style="8" customWidth="1"/>
    <col min="9006" max="9006" width="23.28515625" style="8" bestFit="1" customWidth="1"/>
    <col min="9007" max="9020" width="11.85546875" style="8" customWidth="1"/>
    <col min="9021" max="9021" width="9.7109375" style="8" customWidth="1"/>
    <col min="9022" max="9022" width="23.28515625" style="8" bestFit="1" customWidth="1"/>
    <col min="9023" max="9038" width="11.7109375" style="8" customWidth="1"/>
    <col min="9039" max="9039" width="4.42578125" style="8" customWidth="1"/>
    <col min="9040" max="9040" width="8.7109375" style="8" customWidth="1"/>
    <col min="9041" max="9041" width="23.28515625" style="8" bestFit="1" customWidth="1"/>
    <col min="9042" max="9053" width="11.28515625" style="8" customWidth="1"/>
    <col min="9054" max="9054" width="5.28515625" style="8" customWidth="1"/>
    <col min="9055" max="9055" width="9.5703125" style="8" customWidth="1"/>
    <col min="9056" max="9056" width="23.28515625" style="8" bestFit="1" customWidth="1"/>
    <col min="9057" max="9063" width="15.42578125" style="8" customWidth="1"/>
    <col min="9064" max="9064" width="6.7109375" style="8" customWidth="1"/>
    <col min="9065" max="9065" width="9" style="8" customWidth="1"/>
    <col min="9066" max="9066" width="23.28515625" style="8" bestFit="1" customWidth="1"/>
    <col min="9067" max="9076" width="11.140625" style="8" customWidth="1"/>
    <col min="9077" max="9077" width="6.7109375" style="8" customWidth="1"/>
    <col min="9078" max="9078" width="10.7109375" style="8" customWidth="1"/>
    <col min="9079" max="9079" width="23.28515625" style="8" bestFit="1" customWidth="1"/>
    <col min="9080" max="9090" width="13.7109375" style="8" customWidth="1"/>
    <col min="9091" max="9091" width="5" style="8" customWidth="1"/>
    <col min="9092" max="9092" width="9.28515625" style="8" customWidth="1"/>
    <col min="9093" max="9093" width="23.28515625" style="8" bestFit="1" customWidth="1"/>
    <col min="9094" max="9096" width="11.28515625" style="8" bestFit="1" customWidth="1"/>
    <col min="9097" max="9097" width="3" style="8" customWidth="1"/>
    <col min="9098" max="9098" width="8.42578125" style="8" customWidth="1"/>
    <col min="9099" max="9099" width="23.28515625" style="8" bestFit="1" customWidth="1"/>
    <col min="9100" max="9113" width="11.85546875" style="8" customWidth="1"/>
    <col min="9114" max="9114" width="14.28515625" style="8" bestFit="1" customWidth="1"/>
    <col min="9115" max="9115" width="4.28515625" style="8" customWidth="1"/>
    <col min="9116" max="9116" width="10.7109375" style="8" customWidth="1"/>
    <col min="9117" max="9117" width="23.28515625" style="8" bestFit="1" customWidth="1"/>
    <col min="9118" max="9127" width="11.28515625" style="8" customWidth="1"/>
    <col min="9128" max="9128" width="23.28515625" style="8" bestFit="1" customWidth="1"/>
    <col min="9129" max="9133" width="11.28515625" style="8" customWidth="1"/>
    <col min="9134" max="9228" width="11.5703125" style="8"/>
    <col min="9229" max="9229" width="9.85546875" style="8" customWidth="1"/>
    <col min="9230" max="9230" width="23.28515625" style="8" bestFit="1" customWidth="1"/>
    <col min="9231" max="9248" width="11" style="8" customWidth="1"/>
    <col min="9249" max="9249" width="10.140625" style="8" customWidth="1"/>
    <col min="9250" max="9250" width="23.28515625" style="8" bestFit="1" customWidth="1"/>
    <col min="9251" max="9259" width="11.5703125" style="8" customWidth="1"/>
    <col min="9260" max="9260" width="5.7109375" style="8" customWidth="1"/>
    <col min="9261" max="9261" width="11.5703125" style="8" customWidth="1"/>
    <col min="9262" max="9262" width="23.28515625" style="8" bestFit="1" customWidth="1"/>
    <col min="9263" max="9276" width="11.85546875" style="8" customWidth="1"/>
    <col min="9277" max="9277" width="9.7109375" style="8" customWidth="1"/>
    <col min="9278" max="9278" width="23.28515625" style="8" bestFit="1" customWidth="1"/>
    <col min="9279" max="9294" width="11.7109375" style="8" customWidth="1"/>
    <col min="9295" max="9295" width="4.42578125" style="8" customWidth="1"/>
    <col min="9296" max="9296" width="8.7109375" style="8" customWidth="1"/>
    <col min="9297" max="9297" width="23.28515625" style="8" bestFit="1" customWidth="1"/>
    <col min="9298" max="9309" width="11.28515625" style="8" customWidth="1"/>
    <col min="9310" max="9310" width="5.28515625" style="8" customWidth="1"/>
    <col min="9311" max="9311" width="9.5703125" style="8" customWidth="1"/>
    <col min="9312" max="9312" width="23.28515625" style="8" bestFit="1" customWidth="1"/>
    <col min="9313" max="9319" width="15.42578125" style="8" customWidth="1"/>
    <col min="9320" max="9320" width="6.7109375" style="8" customWidth="1"/>
    <col min="9321" max="9321" width="9" style="8" customWidth="1"/>
    <col min="9322" max="9322" width="23.28515625" style="8" bestFit="1" customWidth="1"/>
    <col min="9323" max="9332" width="11.140625" style="8" customWidth="1"/>
    <col min="9333" max="9333" width="6.7109375" style="8" customWidth="1"/>
    <col min="9334" max="9334" width="10.7109375" style="8" customWidth="1"/>
    <col min="9335" max="9335" width="23.28515625" style="8" bestFit="1" customWidth="1"/>
    <col min="9336" max="9346" width="13.7109375" style="8" customWidth="1"/>
    <col min="9347" max="9347" width="5" style="8" customWidth="1"/>
    <col min="9348" max="9348" width="9.28515625" style="8" customWidth="1"/>
    <col min="9349" max="9349" width="23.28515625" style="8" bestFit="1" customWidth="1"/>
    <col min="9350" max="9352" width="11.28515625" style="8" bestFit="1" customWidth="1"/>
    <col min="9353" max="9353" width="3" style="8" customWidth="1"/>
    <col min="9354" max="9354" width="8.42578125" style="8" customWidth="1"/>
    <col min="9355" max="9355" width="23.28515625" style="8" bestFit="1" customWidth="1"/>
    <col min="9356" max="9369" width="11.85546875" style="8" customWidth="1"/>
    <col min="9370" max="9370" width="14.28515625" style="8" bestFit="1" customWidth="1"/>
    <col min="9371" max="9371" width="4.28515625" style="8" customWidth="1"/>
    <col min="9372" max="9372" width="10.7109375" style="8" customWidth="1"/>
    <col min="9373" max="9373" width="23.28515625" style="8" bestFit="1" customWidth="1"/>
    <col min="9374" max="9383" width="11.28515625" style="8" customWidth="1"/>
    <col min="9384" max="9384" width="23.28515625" style="8" bestFit="1" customWidth="1"/>
    <col min="9385" max="9389" width="11.28515625" style="8" customWidth="1"/>
    <col min="9390" max="9484" width="11.5703125" style="8"/>
    <col min="9485" max="9485" width="9.85546875" style="8" customWidth="1"/>
    <col min="9486" max="9486" width="23.28515625" style="8" bestFit="1" customWidth="1"/>
    <col min="9487" max="9504" width="11" style="8" customWidth="1"/>
    <col min="9505" max="9505" width="10.140625" style="8" customWidth="1"/>
    <col min="9506" max="9506" width="23.28515625" style="8" bestFit="1" customWidth="1"/>
    <col min="9507" max="9515" width="11.5703125" style="8" customWidth="1"/>
    <col min="9516" max="9516" width="5.7109375" style="8" customWidth="1"/>
    <col min="9517" max="9517" width="11.5703125" style="8" customWidth="1"/>
    <col min="9518" max="9518" width="23.28515625" style="8" bestFit="1" customWidth="1"/>
    <col min="9519" max="9532" width="11.85546875" style="8" customWidth="1"/>
    <col min="9533" max="9533" width="9.7109375" style="8" customWidth="1"/>
    <col min="9534" max="9534" width="23.28515625" style="8" bestFit="1" customWidth="1"/>
    <col min="9535" max="9550" width="11.7109375" style="8" customWidth="1"/>
    <col min="9551" max="9551" width="4.42578125" style="8" customWidth="1"/>
    <col min="9552" max="9552" width="8.7109375" style="8" customWidth="1"/>
    <col min="9553" max="9553" width="23.28515625" style="8" bestFit="1" customWidth="1"/>
    <col min="9554" max="9565" width="11.28515625" style="8" customWidth="1"/>
    <col min="9566" max="9566" width="5.28515625" style="8" customWidth="1"/>
    <col min="9567" max="9567" width="9.5703125" style="8" customWidth="1"/>
    <col min="9568" max="9568" width="23.28515625" style="8" bestFit="1" customWidth="1"/>
    <col min="9569" max="9575" width="15.42578125" style="8" customWidth="1"/>
    <col min="9576" max="9576" width="6.7109375" style="8" customWidth="1"/>
    <col min="9577" max="9577" width="9" style="8" customWidth="1"/>
    <col min="9578" max="9578" width="23.28515625" style="8" bestFit="1" customWidth="1"/>
    <col min="9579" max="9588" width="11.140625" style="8" customWidth="1"/>
    <col min="9589" max="9589" width="6.7109375" style="8" customWidth="1"/>
    <col min="9590" max="9590" width="10.7109375" style="8" customWidth="1"/>
    <col min="9591" max="9591" width="23.28515625" style="8" bestFit="1" customWidth="1"/>
    <col min="9592" max="9602" width="13.7109375" style="8" customWidth="1"/>
    <col min="9603" max="9603" width="5" style="8" customWidth="1"/>
    <col min="9604" max="9604" width="9.28515625" style="8" customWidth="1"/>
    <col min="9605" max="9605" width="23.28515625" style="8" bestFit="1" customWidth="1"/>
    <col min="9606" max="9608" width="11.28515625" style="8" bestFit="1" customWidth="1"/>
    <col min="9609" max="9609" width="3" style="8" customWidth="1"/>
    <col min="9610" max="9610" width="8.42578125" style="8" customWidth="1"/>
    <col min="9611" max="9611" width="23.28515625" style="8" bestFit="1" customWidth="1"/>
    <col min="9612" max="9625" width="11.85546875" style="8" customWidth="1"/>
    <col min="9626" max="9626" width="14.28515625" style="8" bestFit="1" customWidth="1"/>
    <col min="9627" max="9627" width="4.28515625" style="8" customWidth="1"/>
    <col min="9628" max="9628" width="10.7109375" style="8" customWidth="1"/>
    <col min="9629" max="9629" width="23.28515625" style="8" bestFit="1" customWidth="1"/>
    <col min="9630" max="9639" width="11.28515625" style="8" customWidth="1"/>
    <col min="9640" max="9640" width="23.28515625" style="8" bestFit="1" customWidth="1"/>
    <col min="9641" max="9645" width="11.28515625" style="8" customWidth="1"/>
    <col min="9646" max="9740" width="11.5703125" style="8"/>
    <col min="9741" max="9741" width="9.85546875" style="8" customWidth="1"/>
    <col min="9742" max="9742" width="23.28515625" style="8" bestFit="1" customWidth="1"/>
    <col min="9743" max="9760" width="11" style="8" customWidth="1"/>
    <col min="9761" max="9761" width="10.140625" style="8" customWidth="1"/>
    <col min="9762" max="9762" width="23.28515625" style="8" bestFit="1" customWidth="1"/>
    <col min="9763" max="9771" width="11.5703125" style="8" customWidth="1"/>
    <col min="9772" max="9772" width="5.7109375" style="8" customWidth="1"/>
    <col min="9773" max="9773" width="11.5703125" style="8" customWidth="1"/>
    <col min="9774" max="9774" width="23.28515625" style="8" bestFit="1" customWidth="1"/>
    <col min="9775" max="9788" width="11.85546875" style="8" customWidth="1"/>
    <col min="9789" max="9789" width="9.7109375" style="8" customWidth="1"/>
    <col min="9790" max="9790" width="23.28515625" style="8" bestFit="1" customWidth="1"/>
    <col min="9791" max="9806" width="11.7109375" style="8" customWidth="1"/>
    <col min="9807" max="9807" width="4.42578125" style="8" customWidth="1"/>
    <col min="9808" max="9808" width="8.7109375" style="8" customWidth="1"/>
    <col min="9809" max="9809" width="23.28515625" style="8" bestFit="1" customWidth="1"/>
    <col min="9810" max="9821" width="11.28515625" style="8" customWidth="1"/>
    <col min="9822" max="9822" width="5.28515625" style="8" customWidth="1"/>
    <col min="9823" max="9823" width="9.5703125" style="8" customWidth="1"/>
    <col min="9824" max="9824" width="23.28515625" style="8" bestFit="1" customWidth="1"/>
    <col min="9825" max="9831" width="15.42578125" style="8" customWidth="1"/>
    <col min="9832" max="9832" width="6.7109375" style="8" customWidth="1"/>
    <col min="9833" max="9833" width="9" style="8" customWidth="1"/>
    <col min="9834" max="9834" width="23.28515625" style="8" bestFit="1" customWidth="1"/>
    <col min="9835" max="9844" width="11.140625" style="8" customWidth="1"/>
    <col min="9845" max="9845" width="6.7109375" style="8" customWidth="1"/>
    <col min="9846" max="9846" width="10.7109375" style="8" customWidth="1"/>
    <col min="9847" max="9847" width="23.28515625" style="8" bestFit="1" customWidth="1"/>
    <col min="9848" max="9858" width="13.7109375" style="8" customWidth="1"/>
    <col min="9859" max="9859" width="5" style="8" customWidth="1"/>
    <col min="9860" max="9860" width="9.28515625" style="8" customWidth="1"/>
    <col min="9861" max="9861" width="23.28515625" style="8" bestFit="1" customWidth="1"/>
    <col min="9862" max="9864" width="11.28515625" style="8" bestFit="1" customWidth="1"/>
    <col min="9865" max="9865" width="3" style="8" customWidth="1"/>
    <col min="9866" max="9866" width="8.42578125" style="8" customWidth="1"/>
    <col min="9867" max="9867" width="23.28515625" style="8" bestFit="1" customWidth="1"/>
    <col min="9868" max="9881" width="11.85546875" style="8" customWidth="1"/>
    <col min="9882" max="9882" width="14.28515625" style="8" bestFit="1" customWidth="1"/>
    <col min="9883" max="9883" width="4.28515625" style="8" customWidth="1"/>
    <col min="9884" max="9884" width="10.7109375" style="8" customWidth="1"/>
    <col min="9885" max="9885" width="23.28515625" style="8" bestFit="1" customWidth="1"/>
    <col min="9886" max="9895" width="11.28515625" style="8" customWidth="1"/>
    <col min="9896" max="9896" width="23.28515625" style="8" bestFit="1" customWidth="1"/>
    <col min="9897" max="9901" width="11.28515625" style="8" customWidth="1"/>
    <col min="9902" max="9996" width="11.5703125" style="8"/>
    <col min="9997" max="9997" width="9.85546875" style="8" customWidth="1"/>
    <col min="9998" max="9998" width="23.28515625" style="8" bestFit="1" customWidth="1"/>
    <col min="9999" max="10016" width="11" style="8" customWidth="1"/>
    <col min="10017" max="10017" width="10.140625" style="8" customWidth="1"/>
    <col min="10018" max="10018" width="23.28515625" style="8" bestFit="1" customWidth="1"/>
    <col min="10019" max="10027" width="11.5703125" style="8" customWidth="1"/>
    <col min="10028" max="10028" width="5.7109375" style="8" customWidth="1"/>
    <col min="10029" max="10029" width="11.5703125" style="8" customWidth="1"/>
    <col min="10030" max="10030" width="23.28515625" style="8" bestFit="1" customWidth="1"/>
    <col min="10031" max="10044" width="11.85546875" style="8" customWidth="1"/>
    <col min="10045" max="10045" width="9.7109375" style="8" customWidth="1"/>
    <col min="10046" max="10046" width="23.28515625" style="8" bestFit="1" customWidth="1"/>
    <col min="10047" max="10062" width="11.7109375" style="8" customWidth="1"/>
    <col min="10063" max="10063" width="4.42578125" style="8" customWidth="1"/>
    <col min="10064" max="10064" width="8.7109375" style="8" customWidth="1"/>
    <col min="10065" max="10065" width="23.28515625" style="8" bestFit="1" customWidth="1"/>
    <col min="10066" max="10077" width="11.28515625" style="8" customWidth="1"/>
    <col min="10078" max="10078" width="5.28515625" style="8" customWidth="1"/>
    <col min="10079" max="10079" width="9.5703125" style="8" customWidth="1"/>
    <col min="10080" max="10080" width="23.28515625" style="8" bestFit="1" customWidth="1"/>
    <col min="10081" max="10087" width="15.42578125" style="8" customWidth="1"/>
    <col min="10088" max="10088" width="6.7109375" style="8" customWidth="1"/>
    <col min="10089" max="10089" width="9" style="8" customWidth="1"/>
    <col min="10090" max="10090" width="23.28515625" style="8" bestFit="1" customWidth="1"/>
    <col min="10091" max="10100" width="11.140625" style="8" customWidth="1"/>
    <col min="10101" max="10101" width="6.7109375" style="8" customWidth="1"/>
    <col min="10102" max="10102" width="10.7109375" style="8" customWidth="1"/>
    <col min="10103" max="10103" width="23.28515625" style="8" bestFit="1" customWidth="1"/>
    <col min="10104" max="10114" width="13.7109375" style="8" customWidth="1"/>
    <col min="10115" max="10115" width="5" style="8" customWidth="1"/>
    <col min="10116" max="10116" width="9.28515625" style="8" customWidth="1"/>
    <col min="10117" max="10117" width="23.28515625" style="8" bestFit="1" customWidth="1"/>
    <col min="10118" max="10120" width="11.28515625" style="8" bestFit="1" customWidth="1"/>
    <col min="10121" max="10121" width="3" style="8" customWidth="1"/>
    <col min="10122" max="10122" width="8.42578125" style="8" customWidth="1"/>
    <col min="10123" max="10123" width="23.28515625" style="8" bestFit="1" customWidth="1"/>
    <col min="10124" max="10137" width="11.85546875" style="8" customWidth="1"/>
    <col min="10138" max="10138" width="14.28515625" style="8" bestFit="1" customWidth="1"/>
    <col min="10139" max="10139" width="4.28515625" style="8" customWidth="1"/>
    <col min="10140" max="10140" width="10.7109375" style="8" customWidth="1"/>
    <col min="10141" max="10141" width="23.28515625" style="8" bestFit="1" customWidth="1"/>
    <col min="10142" max="10151" width="11.28515625" style="8" customWidth="1"/>
    <col min="10152" max="10152" width="23.28515625" style="8" bestFit="1" customWidth="1"/>
    <col min="10153" max="10157" width="11.28515625" style="8" customWidth="1"/>
    <col min="10158" max="10252" width="11.5703125" style="8"/>
    <col min="10253" max="10253" width="9.85546875" style="8" customWidth="1"/>
    <col min="10254" max="10254" width="23.28515625" style="8" bestFit="1" customWidth="1"/>
    <col min="10255" max="10272" width="11" style="8" customWidth="1"/>
    <col min="10273" max="10273" width="10.140625" style="8" customWidth="1"/>
    <col min="10274" max="10274" width="23.28515625" style="8" bestFit="1" customWidth="1"/>
    <col min="10275" max="10283" width="11.5703125" style="8" customWidth="1"/>
    <col min="10284" max="10284" width="5.7109375" style="8" customWidth="1"/>
    <col min="10285" max="10285" width="11.5703125" style="8" customWidth="1"/>
    <col min="10286" max="10286" width="23.28515625" style="8" bestFit="1" customWidth="1"/>
    <col min="10287" max="10300" width="11.85546875" style="8" customWidth="1"/>
    <col min="10301" max="10301" width="9.7109375" style="8" customWidth="1"/>
    <col min="10302" max="10302" width="23.28515625" style="8" bestFit="1" customWidth="1"/>
    <col min="10303" max="10318" width="11.7109375" style="8" customWidth="1"/>
    <col min="10319" max="10319" width="4.42578125" style="8" customWidth="1"/>
    <col min="10320" max="10320" width="8.7109375" style="8" customWidth="1"/>
    <col min="10321" max="10321" width="23.28515625" style="8" bestFit="1" customWidth="1"/>
    <col min="10322" max="10333" width="11.28515625" style="8" customWidth="1"/>
    <col min="10334" max="10334" width="5.28515625" style="8" customWidth="1"/>
    <col min="10335" max="10335" width="9.5703125" style="8" customWidth="1"/>
    <col min="10336" max="10336" width="23.28515625" style="8" bestFit="1" customWidth="1"/>
    <col min="10337" max="10343" width="15.42578125" style="8" customWidth="1"/>
    <col min="10344" max="10344" width="6.7109375" style="8" customWidth="1"/>
    <col min="10345" max="10345" width="9" style="8" customWidth="1"/>
    <col min="10346" max="10346" width="23.28515625" style="8" bestFit="1" customWidth="1"/>
    <col min="10347" max="10356" width="11.140625" style="8" customWidth="1"/>
    <col min="10357" max="10357" width="6.7109375" style="8" customWidth="1"/>
    <col min="10358" max="10358" width="10.7109375" style="8" customWidth="1"/>
    <col min="10359" max="10359" width="23.28515625" style="8" bestFit="1" customWidth="1"/>
    <col min="10360" max="10370" width="13.7109375" style="8" customWidth="1"/>
    <col min="10371" max="10371" width="5" style="8" customWidth="1"/>
    <col min="10372" max="10372" width="9.28515625" style="8" customWidth="1"/>
    <col min="10373" max="10373" width="23.28515625" style="8" bestFit="1" customWidth="1"/>
    <col min="10374" max="10376" width="11.28515625" style="8" bestFit="1" customWidth="1"/>
    <col min="10377" max="10377" width="3" style="8" customWidth="1"/>
    <col min="10378" max="10378" width="8.42578125" style="8" customWidth="1"/>
    <col min="10379" max="10379" width="23.28515625" style="8" bestFit="1" customWidth="1"/>
    <col min="10380" max="10393" width="11.85546875" style="8" customWidth="1"/>
    <col min="10394" max="10394" width="14.28515625" style="8" bestFit="1" customWidth="1"/>
    <col min="10395" max="10395" width="4.28515625" style="8" customWidth="1"/>
    <col min="10396" max="10396" width="10.7109375" style="8" customWidth="1"/>
    <col min="10397" max="10397" width="23.28515625" style="8" bestFit="1" customWidth="1"/>
    <col min="10398" max="10407" width="11.28515625" style="8" customWidth="1"/>
    <col min="10408" max="10408" width="23.28515625" style="8" bestFit="1" customWidth="1"/>
    <col min="10409" max="10413" width="11.28515625" style="8" customWidth="1"/>
    <col min="10414" max="10508" width="11.5703125" style="8"/>
    <col min="10509" max="10509" width="9.85546875" style="8" customWidth="1"/>
    <col min="10510" max="10510" width="23.28515625" style="8" bestFit="1" customWidth="1"/>
    <col min="10511" max="10528" width="11" style="8" customWidth="1"/>
    <col min="10529" max="10529" width="10.140625" style="8" customWidth="1"/>
    <col min="10530" max="10530" width="23.28515625" style="8" bestFit="1" customWidth="1"/>
    <col min="10531" max="10539" width="11.5703125" style="8" customWidth="1"/>
    <col min="10540" max="10540" width="5.7109375" style="8" customWidth="1"/>
    <col min="10541" max="10541" width="11.5703125" style="8" customWidth="1"/>
    <col min="10542" max="10542" width="23.28515625" style="8" bestFit="1" customWidth="1"/>
    <col min="10543" max="10556" width="11.85546875" style="8" customWidth="1"/>
    <col min="10557" max="10557" width="9.7109375" style="8" customWidth="1"/>
    <col min="10558" max="10558" width="23.28515625" style="8" bestFit="1" customWidth="1"/>
    <col min="10559" max="10574" width="11.7109375" style="8" customWidth="1"/>
    <col min="10575" max="10575" width="4.42578125" style="8" customWidth="1"/>
    <col min="10576" max="10576" width="8.7109375" style="8" customWidth="1"/>
    <col min="10577" max="10577" width="23.28515625" style="8" bestFit="1" customWidth="1"/>
    <col min="10578" max="10589" width="11.28515625" style="8" customWidth="1"/>
    <col min="10590" max="10590" width="5.28515625" style="8" customWidth="1"/>
    <col min="10591" max="10591" width="9.5703125" style="8" customWidth="1"/>
    <col min="10592" max="10592" width="23.28515625" style="8" bestFit="1" customWidth="1"/>
    <col min="10593" max="10599" width="15.42578125" style="8" customWidth="1"/>
    <col min="10600" max="10600" width="6.7109375" style="8" customWidth="1"/>
    <col min="10601" max="10601" width="9" style="8" customWidth="1"/>
    <col min="10602" max="10602" width="23.28515625" style="8" bestFit="1" customWidth="1"/>
    <col min="10603" max="10612" width="11.140625" style="8" customWidth="1"/>
    <col min="10613" max="10613" width="6.7109375" style="8" customWidth="1"/>
    <col min="10614" max="10614" width="10.7109375" style="8" customWidth="1"/>
    <col min="10615" max="10615" width="23.28515625" style="8" bestFit="1" customWidth="1"/>
    <col min="10616" max="10626" width="13.7109375" style="8" customWidth="1"/>
    <col min="10627" max="10627" width="5" style="8" customWidth="1"/>
    <col min="10628" max="10628" width="9.28515625" style="8" customWidth="1"/>
    <col min="10629" max="10629" width="23.28515625" style="8" bestFit="1" customWidth="1"/>
    <col min="10630" max="10632" width="11.28515625" style="8" bestFit="1" customWidth="1"/>
    <col min="10633" max="10633" width="3" style="8" customWidth="1"/>
    <col min="10634" max="10634" width="8.42578125" style="8" customWidth="1"/>
    <col min="10635" max="10635" width="23.28515625" style="8" bestFit="1" customWidth="1"/>
    <col min="10636" max="10649" width="11.85546875" style="8" customWidth="1"/>
    <col min="10650" max="10650" width="14.28515625" style="8" bestFit="1" customWidth="1"/>
    <col min="10651" max="10651" width="4.28515625" style="8" customWidth="1"/>
    <col min="10652" max="10652" width="10.7109375" style="8" customWidth="1"/>
    <col min="10653" max="10653" width="23.28515625" style="8" bestFit="1" customWidth="1"/>
    <col min="10654" max="10663" width="11.28515625" style="8" customWidth="1"/>
    <col min="10664" max="10664" width="23.28515625" style="8" bestFit="1" customWidth="1"/>
    <col min="10665" max="10669" width="11.28515625" style="8" customWidth="1"/>
    <col min="10670" max="10764" width="11.5703125" style="8"/>
    <col min="10765" max="10765" width="9.85546875" style="8" customWidth="1"/>
    <col min="10766" max="10766" width="23.28515625" style="8" bestFit="1" customWidth="1"/>
    <col min="10767" max="10784" width="11" style="8" customWidth="1"/>
    <col min="10785" max="10785" width="10.140625" style="8" customWidth="1"/>
    <col min="10786" max="10786" width="23.28515625" style="8" bestFit="1" customWidth="1"/>
    <col min="10787" max="10795" width="11.5703125" style="8" customWidth="1"/>
    <col min="10796" max="10796" width="5.7109375" style="8" customWidth="1"/>
    <col min="10797" max="10797" width="11.5703125" style="8" customWidth="1"/>
    <col min="10798" max="10798" width="23.28515625" style="8" bestFit="1" customWidth="1"/>
    <col min="10799" max="10812" width="11.85546875" style="8" customWidth="1"/>
    <col min="10813" max="10813" width="9.7109375" style="8" customWidth="1"/>
    <col min="10814" max="10814" width="23.28515625" style="8" bestFit="1" customWidth="1"/>
    <col min="10815" max="10830" width="11.7109375" style="8" customWidth="1"/>
    <col min="10831" max="10831" width="4.42578125" style="8" customWidth="1"/>
    <col min="10832" max="10832" width="8.7109375" style="8" customWidth="1"/>
    <col min="10833" max="10833" width="23.28515625" style="8" bestFit="1" customWidth="1"/>
    <col min="10834" max="10845" width="11.28515625" style="8" customWidth="1"/>
    <col min="10846" max="10846" width="5.28515625" style="8" customWidth="1"/>
    <col min="10847" max="10847" width="9.5703125" style="8" customWidth="1"/>
    <col min="10848" max="10848" width="23.28515625" style="8" bestFit="1" customWidth="1"/>
    <col min="10849" max="10855" width="15.42578125" style="8" customWidth="1"/>
    <col min="10856" max="10856" width="6.7109375" style="8" customWidth="1"/>
    <col min="10857" max="10857" width="9" style="8" customWidth="1"/>
    <col min="10858" max="10858" width="23.28515625" style="8" bestFit="1" customWidth="1"/>
    <col min="10859" max="10868" width="11.140625" style="8" customWidth="1"/>
    <col min="10869" max="10869" width="6.7109375" style="8" customWidth="1"/>
    <col min="10870" max="10870" width="10.7109375" style="8" customWidth="1"/>
    <col min="10871" max="10871" width="23.28515625" style="8" bestFit="1" customWidth="1"/>
    <col min="10872" max="10882" width="13.7109375" style="8" customWidth="1"/>
    <col min="10883" max="10883" width="5" style="8" customWidth="1"/>
    <col min="10884" max="10884" width="9.28515625" style="8" customWidth="1"/>
    <col min="10885" max="10885" width="23.28515625" style="8" bestFit="1" customWidth="1"/>
    <col min="10886" max="10888" width="11.28515625" style="8" bestFit="1" customWidth="1"/>
    <col min="10889" max="10889" width="3" style="8" customWidth="1"/>
    <col min="10890" max="10890" width="8.42578125" style="8" customWidth="1"/>
    <col min="10891" max="10891" width="23.28515625" style="8" bestFit="1" customWidth="1"/>
    <col min="10892" max="10905" width="11.85546875" style="8" customWidth="1"/>
    <col min="10906" max="10906" width="14.28515625" style="8" bestFit="1" customWidth="1"/>
    <col min="10907" max="10907" width="4.28515625" style="8" customWidth="1"/>
    <col min="10908" max="10908" width="10.7109375" style="8" customWidth="1"/>
    <col min="10909" max="10909" width="23.28515625" style="8" bestFit="1" customWidth="1"/>
    <col min="10910" max="10919" width="11.28515625" style="8" customWidth="1"/>
    <col min="10920" max="10920" width="23.28515625" style="8" bestFit="1" customWidth="1"/>
    <col min="10921" max="10925" width="11.28515625" style="8" customWidth="1"/>
    <col min="10926" max="11020" width="11.5703125" style="8"/>
    <col min="11021" max="11021" width="9.85546875" style="8" customWidth="1"/>
    <col min="11022" max="11022" width="23.28515625" style="8" bestFit="1" customWidth="1"/>
    <col min="11023" max="11040" width="11" style="8" customWidth="1"/>
    <col min="11041" max="11041" width="10.140625" style="8" customWidth="1"/>
    <col min="11042" max="11042" width="23.28515625" style="8" bestFit="1" customWidth="1"/>
    <col min="11043" max="11051" width="11.5703125" style="8" customWidth="1"/>
    <col min="11052" max="11052" width="5.7109375" style="8" customWidth="1"/>
    <col min="11053" max="11053" width="11.5703125" style="8" customWidth="1"/>
    <col min="11054" max="11054" width="23.28515625" style="8" bestFit="1" customWidth="1"/>
    <col min="11055" max="11068" width="11.85546875" style="8" customWidth="1"/>
    <col min="11069" max="11069" width="9.7109375" style="8" customWidth="1"/>
    <col min="11070" max="11070" width="23.28515625" style="8" bestFit="1" customWidth="1"/>
    <col min="11071" max="11086" width="11.7109375" style="8" customWidth="1"/>
    <col min="11087" max="11087" width="4.42578125" style="8" customWidth="1"/>
    <col min="11088" max="11088" width="8.7109375" style="8" customWidth="1"/>
    <col min="11089" max="11089" width="23.28515625" style="8" bestFit="1" customWidth="1"/>
    <col min="11090" max="11101" width="11.28515625" style="8" customWidth="1"/>
    <col min="11102" max="11102" width="5.28515625" style="8" customWidth="1"/>
    <col min="11103" max="11103" width="9.5703125" style="8" customWidth="1"/>
    <col min="11104" max="11104" width="23.28515625" style="8" bestFit="1" customWidth="1"/>
    <col min="11105" max="11111" width="15.42578125" style="8" customWidth="1"/>
    <col min="11112" max="11112" width="6.7109375" style="8" customWidth="1"/>
    <col min="11113" max="11113" width="9" style="8" customWidth="1"/>
    <col min="11114" max="11114" width="23.28515625" style="8" bestFit="1" customWidth="1"/>
    <col min="11115" max="11124" width="11.140625" style="8" customWidth="1"/>
    <col min="11125" max="11125" width="6.7109375" style="8" customWidth="1"/>
    <col min="11126" max="11126" width="10.7109375" style="8" customWidth="1"/>
    <col min="11127" max="11127" width="23.28515625" style="8" bestFit="1" customWidth="1"/>
    <col min="11128" max="11138" width="13.7109375" style="8" customWidth="1"/>
    <col min="11139" max="11139" width="5" style="8" customWidth="1"/>
    <col min="11140" max="11140" width="9.28515625" style="8" customWidth="1"/>
    <col min="11141" max="11141" width="23.28515625" style="8" bestFit="1" customWidth="1"/>
    <col min="11142" max="11144" width="11.28515625" style="8" bestFit="1" customWidth="1"/>
    <col min="11145" max="11145" width="3" style="8" customWidth="1"/>
    <col min="11146" max="11146" width="8.42578125" style="8" customWidth="1"/>
    <col min="11147" max="11147" width="23.28515625" style="8" bestFit="1" customWidth="1"/>
    <col min="11148" max="11161" width="11.85546875" style="8" customWidth="1"/>
    <col min="11162" max="11162" width="14.28515625" style="8" bestFit="1" customWidth="1"/>
    <col min="11163" max="11163" width="4.28515625" style="8" customWidth="1"/>
    <col min="11164" max="11164" width="10.7109375" style="8" customWidth="1"/>
    <col min="11165" max="11165" width="23.28515625" style="8" bestFit="1" customWidth="1"/>
    <col min="11166" max="11175" width="11.28515625" style="8" customWidth="1"/>
    <col min="11176" max="11176" width="23.28515625" style="8" bestFit="1" customWidth="1"/>
    <col min="11177" max="11181" width="11.28515625" style="8" customWidth="1"/>
    <col min="11182" max="11276" width="11.5703125" style="8"/>
    <col min="11277" max="11277" width="9.85546875" style="8" customWidth="1"/>
    <col min="11278" max="11278" width="23.28515625" style="8" bestFit="1" customWidth="1"/>
    <col min="11279" max="11296" width="11" style="8" customWidth="1"/>
    <col min="11297" max="11297" width="10.140625" style="8" customWidth="1"/>
    <col min="11298" max="11298" width="23.28515625" style="8" bestFit="1" customWidth="1"/>
    <col min="11299" max="11307" width="11.5703125" style="8" customWidth="1"/>
    <col min="11308" max="11308" width="5.7109375" style="8" customWidth="1"/>
    <col min="11309" max="11309" width="11.5703125" style="8" customWidth="1"/>
    <col min="11310" max="11310" width="23.28515625" style="8" bestFit="1" customWidth="1"/>
    <col min="11311" max="11324" width="11.85546875" style="8" customWidth="1"/>
    <col min="11325" max="11325" width="9.7109375" style="8" customWidth="1"/>
    <col min="11326" max="11326" width="23.28515625" style="8" bestFit="1" customWidth="1"/>
    <col min="11327" max="11342" width="11.7109375" style="8" customWidth="1"/>
    <col min="11343" max="11343" width="4.42578125" style="8" customWidth="1"/>
    <col min="11344" max="11344" width="8.7109375" style="8" customWidth="1"/>
    <col min="11345" max="11345" width="23.28515625" style="8" bestFit="1" customWidth="1"/>
    <col min="11346" max="11357" width="11.28515625" style="8" customWidth="1"/>
    <col min="11358" max="11358" width="5.28515625" style="8" customWidth="1"/>
    <col min="11359" max="11359" width="9.5703125" style="8" customWidth="1"/>
    <col min="11360" max="11360" width="23.28515625" style="8" bestFit="1" customWidth="1"/>
    <col min="11361" max="11367" width="15.42578125" style="8" customWidth="1"/>
    <col min="11368" max="11368" width="6.7109375" style="8" customWidth="1"/>
    <col min="11369" max="11369" width="9" style="8" customWidth="1"/>
    <col min="11370" max="11370" width="23.28515625" style="8" bestFit="1" customWidth="1"/>
    <col min="11371" max="11380" width="11.140625" style="8" customWidth="1"/>
    <col min="11381" max="11381" width="6.7109375" style="8" customWidth="1"/>
    <col min="11382" max="11382" width="10.7109375" style="8" customWidth="1"/>
    <col min="11383" max="11383" width="23.28515625" style="8" bestFit="1" customWidth="1"/>
    <col min="11384" max="11394" width="13.7109375" style="8" customWidth="1"/>
    <col min="11395" max="11395" width="5" style="8" customWidth="1"/>
    <col min="11396" max="11396" width="9.28515625" style="8" customWidth="1"/>
    <col min="11397" max="11397" width="23.28515625" style="8" bestFit="1" customWidth="1"/>
    <col min="11398" max="11400" width="11.28515625" style="8" bestFit="1" customWidth="1"/>
    <col min="11401" max="11401" width="3" style="8" customWidth="1"/>
    <col min="11402" max="11402" width="8.42578125" style="8" customWidth="1"/>
    <col min="11403" max="11403" width="23.28515625" style="8" bestFit="1" customWidth="1"/>
    <col min="11404" max="11417" width="11.85546875" style="8" customWidth="1"/>
    <col min="11418" max="11418" width="14.28515625" style="8" bestFit="1" customWidth="1"/>
    <col min="11419" max="11419" width="4.28515625" style="8" customWidth="1"/>
    <col min="11420" max="11420" width="10.7109375" style="8" customWidth="1"/>
    <col min="11421" max="11421" width="23.28515625" style="8" bestFit="1" customWidth="1"/>
    <col min="11422" max="11431" width="11.28515625" style="8" customWidth="1"/>
    <col min="11432" max="11432" width="23.28515625" style="8" bestFit="1" customWidth="1"/>
    <col min="11433" max="11437" width="11.28515625" style="8" customWidth="1"/>
    <col min="11438" max="11532" width="11.5703125" style="8"/>
    <col min="11533" max="11533" width="9.85546875" style="8" customWidth="1"/>
    <col min="11534" max="11534" width="23.28515625" style="8" bestFit="1" customWidth="1"/>
    <col min="11535" max="11552" width="11" style="8" customWidth="1"/>
    <col min="11553" max="11553" width="10.140625" style="8" customWidth="1"/>
    <col min="11554" max="11554" width="23.28515625" style="8" bestFit="1" customWidth="1"/>
    <col min="11555" max="11563" width="11.5703125" style="8" customWidth="1"/>
    <col min="11564" max="11564" width="5.7109375" style="8" customWidth="1"/>
    <col min="11565" max="11565" width="11.5703125" style="8" customWidth="1"/>
    <col min="11566" max="11566" width="23.28515625" style="8" bestFit="1" customWidth="1"/>
    <col min="11567" max="11580" width="11.85546875" style="8" customWidth="1"/>
    <col min="11581" max="11581" width="9.7109375" style="8" customWidth="1"/>
    <col min="11582" max="11582" width="23.28515625" style="8" bestFit="1" customWidth="1"/>
    <col min="11583" max="11598" width="11.7109375" style="8" customWidth="1"/>
    <col min="11599" max="11599" width="4.42578125" style="8" customWidth="1"/>
    <col min="11600" max="11600" width="8.7109375" style="8" customWidth="1"/>
    <col min="11601" max="11601" width="23.28515625" style="8" bestFit="1" customWidth="1"/>
    <col min="11602" max="11613" width="11.28515625" style="8" customWidth="1"/>
    <col min="11614" max="11614" width="5.28515625" style="8" customWidth="1"/>
    <col min="11615" max="11615" width="9.5703125" style="8" customWidth="1"/>
    <col min="11616" max="11616" width="23.28515625" style="8" bestFit="1" customWidth="1"/>
    <col min="11617" max="11623" width="15.42578125" style="8" customWidth="1"/>
    <col min="11624" max="11624" width="6.7109375" style="8" customWidth="1"/>
    <col min="11625" max="11625" width="9" style="8" customWidth="1"/>
    <col min="11626" max="11626" width="23.28515625" style="8" bestFit="1" customWidth="1"/>
    <col min="11627" max="11636" width="11.140625" style="8" customWidth="1"/>
    <col min="11637" max="11637" width="6.7109375" style="8" customWidth="1"/>
    <col min="11638" max="11638" width="10.7109375" style="8" customWidth="1"/>
    <col min="11639" max="11639" width="23.28515625" style="8" bestFit="1" customWidth="1"/>
    <col min="11640" max="11650" width="13.7109375" style="8" customWidth="1"/>
    <col min="11651" max="11651" width="5" style="8" customWidth="1"/>
    <col min="11652" max="11652" width="9.28515625" style="8" customWidth="1"/>
    <col min="11653" max="11653" width="23.28515625" style="8" bestFit="1" customWidth="1"/>
    <col min="11654" max="11656" width="11.28515625" style="8" bestFit="1" customWidth="1"/>
    <col min="11657" max="11657" width="3" style="8" customWidth="1"/>
    <col min="11658" max="11658" width="8.42578125" style="8" customWidth="1"/>
    <col min="11659" max="11659" width="23.28515625" style="8" bestFit="1" customWidth="1"/>
    <col min="11660" max="11673" width="11.85546875" style="8" customWidth="1"/>
    <col min="11674" max="11674" width="14.28515625" style="8" bestFit="1" customWidth="1"/>
    <col min="11675" max="11675" width="4.28515625" style="8" customWidth="1"/>
    <col min="11676" max="11676" width="10.7109375" style="8" customWidth="1"/>
    <col min="11677" max="11677" width="23.28515625" style="8" bestFit="1" customWidth="1"/>
    <col min="11678" max="11687" width="11.28515625" style="8" customWidth="1"/>
    <col min="11688" max="11688" width="23.28515625" style="8" bestFit="1" customWidth="1"/>
    <col min="11689" max="11693" width="11.28515625" style="8" customWidth="1"/>
    <col min="11694" max="11788" width="11.5703125" style="8"/>
    <col min="11789" max="11789" width="9.85546875" style="8" customWidth="1"/>
    <col min="11790" max="11790" width="23.28515625" style="8" bestFit="1" customWidth="1"/>
    <col min="11791" max="11808" width="11" style="8" customWidth="1"/>
    <col min="11809" max="11809" width="10.140625" style="8" customWidth="1"/>
    <col min="11810" max="11810" width="23.28515625" style="8" bestFit="1" customWidth="1"/>
    <col min="11811" max="11819" width="11.5703125" style="8" customWidth="1"/>
    <col min="11820" max="11820" width="5.7109375" style="8" customWidth="1"/>
    <col min="11821" max="11821" width="11.5703125" style="8" customWidth="1"/>
    <col min="11822" max="11822" width="23.28515625" style="8" bestFit="1" customWidth="1"/>
    <col min="11823" max="11836" width="11.85546875" style="8" customWidth="1"/>
    <col min="11837" max="11837" width="9.7109375" style="8" customWidth="1"/>
    <col min="11838" max="11838" width="23.28515625" style="8" bestFit="1" customWidth="1"/>
    <col min="11839" max="11854" width="11.7109375" style="8" customWidth="1"/>
    <col min="11855" max="11855" width="4.42578125" style="8" customWidth="1"/>
    <col min="11856" max="11856" width="8.7109375" style="8" customWidth="1"/>
    <col min="11857" max="11857" width="23.28515625" style="8" bestFit="1" customWidth="1"/>
    <col min="11858" max="11869" width="11.28515625" style="8" customWidth="1"/>
    <col min="11870" max="11870" width="5.28515625" style="8" customWidth="1"/>
    <col min="11871" max="11871" width="9.5703125" style="8" customWidth="1"/>
    <col min="11872" max="11872" width="23.28515625" style="8" bestFit="1" customWidth="1"/>
    <col min="11873" max="11879" width="15.42578125" style="8" customWidth="1"/>
    <col min="11880" max="11880" width="6.7109375" style="8" customWidth="1"/>
    <col min="11881" max="11881" width="9" style="8" customWidth="1"/>
    <col min="11882" max="11882" width="23.28515625" style="8" bestFit="1" customWidth="1"/>
    <col min="11883" max="11892" width="11.140625" style="8" customWidth="1"/>
    <col min="11893" max="11893" width="6.7109375" style="8" customWidth="1"/>
    <col min="11894" max="11894" width="10.7109375" style="8" customWidth="1"/>
    <col min="11895" max="11895" width="23.28515625" style="8" bestFit="1" customWidth="1"/>
    <col min="11896" max="11906" width="13.7109375" style="8" customWidth="1"/>
    <col min="11907" max="11907" width="5" style="8" customWidth="1"/>
    <col min="11908" max="11908" width="9.28515625" style="8" customWidth="1"/>
    <col min="11909" max="11909" width="23.28515625" style="8" bestFit="1" customWidth="1"/>
    <col min="11910" max="11912" width="11.28515625" style="8" bestFit="1" customWidth="1"/>
    <col min="11913" max="11913" width="3" style="8" customWidth="1"/>
    <col min="11914" max="11914" width="8.42578125" style="8" customWidth="1"/>
    <col min="11915" max="11915" width="23.28515625" style="8" bestFit="1" customWidth="1"/>
    <col min="11916" max="11929" width="11.85546875" style="8" customWidth="1"/>
    <col min="11930" max="11930" width="14.28515625" style="8" bestFit="1" customWidth="1"/>
    <col min="11931" max="11931" width="4.28515625" style="8" customWidth="1"/>
    <col min="11932" max="11932" width="10.7109375" style="8" customWidth="1"/>
    <col min="11933" max="11933" width="23.28515625" style="8" bestFit="1" customWidth="1"/>
    <col min="11934" max="11943" width="11.28515625" style="8" customWidth="1"/>
    <col min="11944" max="11944" width="23.28515625" style="8" bestFit="1" customWidth="1"/>
    <col min="11945" max="11949" width="11.28515625" style="8" customWidth="1"/>
    <col min="11950" max="12044" width="11.5703125" style="8"/>
    <col min="12045" max="12045" width="9.85546875" style="8" customWidth="1"/>
    <col min="12046" max="12046" width="23.28515625" style="8" bestFit="1" customWidth="1"/>
    <col min="12047" max="12064" width="11" style="8" customWidth="1"/>
    <col min="12065" max="12065" width="10.140625" style="8" customWidth="1"/>
    <col min="12066" max="12066" width="23.28515625" style="8" bestFit="1" customWidth="1"/>
    <col min="12067" max="12075" width="11.5703125" style="8" customWidth="1"/>
    <col min="12076" max="12076" width="5.7109375" style="8" customWidth="1"/>
    <col min="12077" max="12077" width="11.5703125" style="8" customWidth="1"/>
    <col min="12078" max="12078" width="23.28515625" style="8" bestFit="1" customWidth="1"/>
    <col min="12079" max="12092" width="11.85546875" style="8" customWidth="1"/>
    <col min="12093" max="12093" width="9.7109375" style="8" customWidth="1"/>
    <col min="12094" max="12094" width="23.28515625" style="8" bestFit="1" customWidth="1"/>
    <col min="12095" max="12110" width="11.7109375" style="8" customWidth="1"/>
    <col min="12111" max="12111" width="4.42578125" style="8" customWidth="1"/>
    <col min="12112" max="12112" width="8.7109375" style="8" customWidth="1"/>
    <col min="12113" max="12113" width="23.28515625" style="8" bestFit="1" customWidth="1"/>
    <col min="12114" max="12125" width="11.28515625" style="8" customWidth="1"/>
    <col min="12126" max="12126" width="5.28515625" style="8" customWidth="1"/>
    <col min="12127" max="12127" width="9.5703125" style="8" customWidth="1"/>
    <col min="12128" max="12128" width="23.28515625" style="8" bestFit="1" customWidth="1"/>
    <col min="12129" max="12135" width="15.42578125" style="8" customWidth="1"/>
    <col min="12136" max="12136" width="6.7109375" style="8" customWidth="1"/>
    <col min="12137" max="12137" width="9" style="8" customWidth="1"/>
    <col min="12138" max="12138" width="23.28515625" style="8" bestFit="1" customWidth="1"/>
    <col min="12139" max="12148" width="11.140625" style="8" customWidth="1"/>
    <col min="12149" max="12149" width="6.7109375" style="8" customWidth="1"/>
    <col min="12150" max="12150" width="10.7109375" style="8" customWidth="1"/>
    <col min="12151" max="12151" width="23.28515625" style="8" bestFit="1" customWidth="1"/>
    <col min="12152" max="12162" width="13.7109375" style="8" customWidth="1"/>
    <col min="12163" max="12163" width="5" style="8" customWidth="1"/>
    <col min="12164" max="12164" width="9.28515625" style="8" customWidth="1"/>
    <col min="12165" max="12165" width="23.28515625" style="8" bestFit="1" customWidth="1"/>
    <col min="12166" max="12168" width="11.28515625" style="8" bestFit="1" customWidth="1"/>
    <col min="12169" max="12169" width="3" style="8" customWidth="1"/>
    <col min="12170" max="12170" width="8.42578125" style="8" customWidth="1"/>
    <col min="12171" max="12171" width="23.28515625" style="8" bestFit="1" customWidth="1"/>
    <col min="12172" max="12185" width="11.85546875" style="8" customWidth="1"/>
    <col min="12186" max="12186" width="14.28515625" style="8" bestFit="1" customWidth="1"/>
    <col min="12187" max="12187" width="4.28515625" style="8" customWidth="1"/>
    <col min="12188" max="12188" width="10.7109375" style="8" customWidth="1"/>
    <col min="12189" max="12189" width="23.28515625" style="8" bestFit="1" customWidth="1"/>
    <col min="12190" max="12199" width="11.28515625" style="8" customWidth="1"/>
    <col min="12200" max="12200" width="23.28515625" style="8" bestFit="1" customWidth="1"/>
    <col min="12201" max="12205" width="11.28515625" style="8" customWidth="1"/>
    <col min="12206" max="12300" width="11.5703125" style="8"/>
    <col min="12301" max="12301" width="9.85546875" style="8" customWidth="1"/>
    <col min="12302" max="12302" width="23.28515625" style="8" bestFit="1" customWidth="1"/>
    <col min="12303" max="12320" width="11" style="8" customWidth="1"/>
    <col min="12321" max="12321" width="10.140625" style="8" customWidth="1"/>
    <col min="12322" max="12322" width="23.28515625" style="8" bestFit="1" customWidth="1"/>
    <col min="12323" max="12331" width="11.5703125" style="8" customWidth="1"/>
    <col min="12332" max="12332" width="5.7109375" style="8" customWidth="1"/>
    <col min="12333" max="12333" width="11.5703125" style="8" customWidth="1"/>
    <col min="12334" max="12334" width="23.28515625" style="8" bestFit="1" customWidth="1"/>
    <col min="12335" max="12348" width="11.85546875" style="8" customWidth="1"/>
    <col min="12349" max="12349" width="9.7109375" style="8" customWidth="1"/>
    <col min="12350" max="12350" width="23.28515625" style="8" bestFit="1" customWidth="1"/>
    <col min="12351" max="12366" width="11.7109375" style="8" customWidth="1"/>
    <col min="12367" max="12367" width="4.42578125" style="8" customWidth="1"/>
    <col min="12368" max="12368" width="8.7109375" style="8" customWidth="1"/>
    <col min="12369" max="12369" width="23.28515625" style="8" bestFit="1" customWidth="1"/>
    <col min="12370" max="12381" width="11.28515625" style="8" customWidth="1"/>
    <col min="12382" max="12382" width="5.28515625" style="8" customWidth="1"/>
    <col min="12383" max="12383" width="9.5703125" style="8" customWidth="1"/>
    <col min="12384" max="12384" width="23.28515625" style="8" bestFit="1" customWidth="1"/>
    <col min="12385" max="12391" width="15.42578125" style="8" customWidth="1"/>
    <col min="12392" max="12392" width="6.7109375" style="8" customWidth="1"/>
    <col min="12393" max="12393" width="9" style="8" customWidth="1"/>
    <col min="12394" max="12394" width="23.28515625" style="8" bestFit="1" customWidth="1"/>
    <col min="12395" max="12404" width="11.140625" style="8" customWidth="1"/>
    <col min="12405" max="12405" width="6.7109375" style="8" customWidth="1"/>
    <col min="12406" max="12406" width="10.7109375" style="8" customWidth="1"/>
    <col min="12407" max="12407" width="23.28515625" style="8" bestFit="1" customWidth="1"/>
    <col min="12408" max="12418" width="13.7109375" style="8" customWidth="1"/>
    <col min="12419" max="12419" width="5" style="8" customWidth="1"/>
    <col min="12420" max="12420" width="9.28515625" style="8" customWidth="1"/>
    <col min="12421" max="12421" width="23.28515625" style="8" bestFit="1" customWidth="1"/>
    <col min="12422" max="12424" width="11.28515625" style="8" bestFit="1" customWidth="1"/>
    <col min="12425" max="12425" width="3" style="8" customWidth="1"/>
    <col min="12426" max="12426" width="8.42578125" style="8" customWidth="1"/>
    <col min="12427" max="12427" width="23.28515625" style="8" bestFit="1" customWidth="1"/>
    <col min="12428" max="12441" width="11.85546875" style="8" customWidth="1"/>
    <col min="12442" max="12442" width="14.28515625" style="8" bestFit="1" customWidth="1"/>
    <col min="12443" max="12443" width="4.28515625" style="8" customWidth="1"/>
    <col min="12444" max="12444" width="10.7109375" style="8" customWidth="1"/>
    <col min="12445" max="12445" width="23.28515625" style="8" bestFit="1" customWidth="1"/>
    <col min="12446" max="12455" width="11.28515625" style="8" customWidth="1"/>
    <col min="12456" max="12456" width="23.28515625" style="8" bestFit="1" customWidth="1"/>
    <col min="12457" max="12461" width="11.28515625" style="8" customWidth="1"/>
    <col min="12462" max="12556" width="11.5703125" style="8"/>
    <col min="12557" max="12557" width="9.85546875" style="8" customWidth="1"/>
    <col min="12558" max="12558" width="23.28515625" style="8" bestFit="1" customWidth="1"/>
    <col min="12559" max="12576" width="11" style="8" customWidth="1"/>
    <col min="12577" max="12577" width="10.140625" style="8" customWidth="1"/>
    <col min="12578" max="12578" width="23.28515625" style="8" bestFit="1" customWidth="1"/>
    <col min="12579" max="12587" width="11.5703125" style="8" customWidth="1"/>
    <col min="12588" max="12588" width="5.7109375" style="8" customWidth="1"/>
    <col min="12589" max="12589" width="11.5703125" style="8" customWidth="1"/>
    <col min="12590" max="12590" width="23.28515625" style="8" bestFit="1" customWidth="1"/>
    <col min="12591" max="12604" width="11.85546875" style="8" customWidth="1"/>
    <col min="12605" max="12605" width="9.7109375" style="8" customWidth="1"/>
    <col min="12606" max="12606" width="23.28515625" style="8" bestFit="1" customWidth="1"/>
    <col min="12607" max="12622" width="11.7109375" style="8" customWidth="1"/>
    <col min="12623" max="12623" width="4.42578125" style="8" customWidth="1"/>
    <col min="12624" max="12624" width="8.7109375" style="8" customWidth="1"/>
    <col min="12625" max="12625" width="23.28515625" style="8" bestFit="1" customWidth="1"/>
    <col min="12626" max="12637" width="11.28515625" style="8" customWidth="1"/>
    <col min="12638" max="12638" width="5.28515625" style="8" customWidth="1"/>
    <col min="12639" max="12639" width="9.5703125" style="8" customWidth="1"/>
    <col min="12640" max="12640" width="23.28515625" style="8" bestFit="1" customWidth="1"/>
    <col min="12641" max="12647" width="15.42578125" style="8" customWidth="1"/>
    <col min="12648" max="12648" width="6.7109375" style="8" customWidth="1"/>
    <col min="12649" max="12649" width="9" style="8" customWidth="1"/>
    <col min="12650" max="12650" width="23.28515625" style="8" bestFit="1" customWidth="1"/>
    <col min="12651" max="12660" width="11.140625" style="8" customWidth="1"/>
    <col min="12661" max="12661" width="6.7109375" style="8" customWidth="1"/>
    <col min="12662" max="12662" width="10.7109375" style="8" customWidth="1"/>
    <col min="12663" max="12663" width="23.28515625" style="8" bestFit="1" customWidth="1"/>
    <col min="12664" max="12674" width="13.7109375" style="8" customWidth="1"/>
    <col min="12675" max="12675" width="5" style="8" customWidth="1"/>
    <col min="12676" max="12676" width="9.28515625" style="8" customWidth="1"/>
    <col min="12677" max="12677" width="23.28515625" style="8" bestFit="1" customWidth="1"/>
    <col min="12678" max="12680" width="11.28515625" style="8" bestFit="1" customWidth="1"/>
    <col min="12681" max="12681" width="3" style="8" customWidth="1"/>
    <col min="12682" max="12682" width="8.42578125" style="8" customWidth="1"/>
    <col min="12683" max="12683" width="23.28515625" style="8" bestFit="1" customWidth="1"/>
    <col min="12684" max="12697" width="11.85546875" style="8" customWidth="1"/>
    <col min="12698" max="12698" width="14.28515625" style="8" bestFit="1" customWidth="1"/>
    <col min="12699" max="12699" width="4.28515625" style="8" customWidth="1"/>
    <col min="12700" max="12700" width="10.7109375" style="8" customWidth="1"/>
    <col min="12701" max="12701" width="23.28515625" style="8" bestFit="1" customWidth="1"/>
    <col min="12702" max="12711" width="11.28515625" style="8" customWidth="1"/>
    <col min="12712" max="12712" width="23.28515625" style="8" bestFit="1" customWidth="1"/>
    <col min="12713" max="12717" width="11.28515625" style="8" customWidth="1"/>
    <col min="12718" max="12812" width="11.5703125" style="8"/>
    <col min="12813" max="12813" width="9.85546875" style="8" customWidth="1"/>
    <col min="12814" max="12814" width="23.28515625" style="8" bestFit="1" customWidth="1"/>
    <col min="12815" max="12832" width="11" style="8" customWidth="1"/>
    <col min="12833" max="12833" width="10.140625" style="8" customWidth="1"/>
    <col min="12834" max="12834" width="23.28515625" style="8" bestFit="1" customWidth="1"/>
    <col min="12835" max="12843" width="11.5703125" style="8" customWidth="1"/>
    <col min="12844" max="12844" width="5.7109375" style="8" customWidth="1"/>
    <col min="12845" max="12845" width="11.5703125" style="8" customWidth="1"/>
    <col min="12846" max="12846" width="23.28515625" style="8" bestFit="1" customWidth="1"/>
    <col min="12847" max="12860" width="11.85546875" style="8" customWidth="1"/>
    <col min="12861" max="12861" width="9.7109375" style="8" customWidth="1"/>
    <col min="12862" max="12862" width="23.28515625" style="8" bestFit="1" customWidth="1"/>
    <col min="12863" max="12878" width="11.7109375" style="8" customWidth="1"/>
    <col min="12879" max="12879" width="4.42578125" style="8" customWidth="1"/>
    <col min="12880" max="12880" width="8.7109375" style="8" customWidth="1"/>
    <col min="12881" max="12881" width="23.28515625" style="8" bestFit="1" customWidth="1"/>
    <col min="12882" max="12893" width="11.28515625" style="8" customWidth="1"/>
    <col min="12894" max="12894" width="5.28515625" style="8" customWidth="1"/>
    <col min="12895" max="12895" width="9.5703125" style="8" customWidth="1"/>
    <col min="12896" max="12896" width="23.28515625" style="8" bestFit="1" customWidth="1"/>
    <col min="12897" max="12903" width="15.42578125" style="8" customWidth="1"/>
    <col min="12904" max="12904" width="6.7109375" style="8" customWidth="1"/>
    <col min="12905" max="12905" width="9" style="8" customWidth="1"/>
    <col min="12906" max="12906" width="23.28515625" style="8" bestFit="1" customWidth="1"/>
    <col min="12907" max="12916" width="11.140625" style="8" customWidth="1"/>
    <col min="12917" max="12917" width="6.7109375" style="8" customWidth="1"/>
    <col min="12918" max="12918" width="10.7109375" style="8" customWidth="1"/>
    <col min="12919" max="12919" width="23.28515625" style="8" bestFit="1" customWidth="1"/>
    <col min="12920" max="12930" width="13.7109375" style="8" customWidth="1"/>
    <col min="12931" max="12931" width="5" style="8" customWidth="1"/>
    <col min="12932" max="12932" width="9.28515625" style="8" customWidth="1"/>
    <col min="12933" max="12933" width="23.28515625" style="8" bestFit="1" customWidth="1"/>
    <col min="12934" max="12936" width="11.28515625" style="8" bestFit="1" customWidth="1"/>
    <col min="12937" max="12937" width="3" style="8" customWidth="1"/>
    <col min="12938" max="12938" width="8.42578125" style="8" customWidth="1"/>
    <col min="12939" max="12939" width="23.28515625" style="8" bestFit="1" customWidth="1"/>
    <col min="12940" max="12953" width="11.85546875" style="8" customWidth="1"/>
    <col min="12954" max="12954" width="14.28515625" style="8" bestFit="1" customWidth="1"/>
    <col min="12955" max="12955" width="4.28515625" style="8" customWidth="1"/>
    <col min="12956" max="12956" width="10.7109375" style="8" customWidth="1"/>
    <col min="12957" max="12957" width="23.28515625" style="8" bestFit="1" customWidth="1"/>
    <col min="12958" max="12967" width="11.28515625" style="8" customWidth="1"/>
    <col min="12968" max="12968" width="23.28515625" style="8" bestFit="1" customWidth="1"/>
    <col min="12969" max="12973" width="11.28515625" style="8" customWidth="1"/>
    <col min="12974" max="13068" width="11.5703125" style="8"/>
    <col min="13069" max="13069" width="9.85546875" style="8" customWidth="1"/>
    <col min="13070" max="13070" width="23.28515625" style="8" bestFit="1" customWidth="1"/>
    <col min="13071" max="13088" width="11" style="8" customWidth="1"/>
    <col min="13089" max="13089" width="10.140625" style="8" customWidth="1"/>
    <col min="13090" max="13090" width="23.28515625" style="8" bestFit="1" customWidth="1"/>
    <col min="13091" max="13099" width="11.5703125" style="8" customWidth="1"/>
    <col min="13100" max="13100" width="5.7109375" style="8" customWidth="1"/>
    <col min="13101" max="13101" width="11.5703125" style="8" customWidth="1"/>
    <col min="13102" max="13102" width="23.28515625" style="8" bestFit="1" customWidth="1"/>
    <col min="13103" max="13116" width="11.85546875" style="8" customWidth="1"/>
    <col min="13117" max="13117" width="9.7109375" style="8" customWidth="1"/>
    <col min="13118" max="13118" width="23.28515625" style="8" bestFit="1" customWidth="1"/>
    <col min="13119" max="13134" width="11.7109375" style="8" customWidth="1"/>
    <col min="13135" max="13135" width="4.42578125" style="8" customWidth="1"/>
    <col min="13136" max="13136" width="8.7109375" style="8" customWidth="1"/>
    <col min="13137" max="13137" width="23.28515625" style="8" bestFit="1" customWidth="1"/>
    <col min="13138" max="13149" width="11.28515625" style="8" customWidth="1"/>
    <col min="13150" max="13150" width="5.28515625" style="8" customWidth="1"/>
    <col min="13151" max="13151" width="9.5703125" style="8" customWidth="1"/>
    <col min="13152" max="13152" width="23.28515625" style="8" bestFit="1" customWidth="1"/>
    <col min="13153" max="13159" width="15.42578125" style="8" customWidth="1"/>
    <col min="13160" max="13160" width="6.7109375" style="8" customWidth="1"/>
    <col min="13161" max="13161" width="9" style="8" customWidth="1"/>
    <col min="13162" max="13162" width="23.28515625" style="8" bestFit="1" customWidth="1"/>
    <col min="13163" max="13172" width="11.140625" style="8" customWidth="1"/>
    <col min="13173" max="13173" width="6.7109375" style="8" customWidth="1"/>
    <col min="13174" max="13174" width="10.7109375" style="8" customWidth="1"/>
    <col min="13175" max="13175" width="23.28515625" style="8" bestFit="1" customWidth="1"/>
    <col min="13176" max="13186" width="13.7109375" style="8" customWidth="1"/>
    <col min="13187" max="13187" width="5" style="8" customWidth="1"/>
    <col min="13188" max="13188" width="9.28515625" style="8" customWidth="1"/>
    <col min="13189" max="13189" width="23.28515625" style="8" bestFit="1" customWidth="1"/>
    <col min="13190" max="13192" width="11.28515625" style="8" bestFit="1" customWidth="1"/>
    <col min="13193" max="13193" width="3" style="8" customWidth="1"/>
    <col min="13194" max="13194" width="8.42578125" style="8" customWidth="1"/>
    <col min="13195" max="13195" width="23.28515625" style="8" bestFit="1" customWidth="1"/>
    <col min="13196" max="13209" width="11.85546875" style="8" customWidth="1"/>
    <col min="13210" max="13210" width="14.28515625" style="8" bestFit="1" customWidth="1"/>
    <col min="13211" max="13211" width="4.28515625" style="8" customWidth="1"/>
    <col min="13212" max="13212" width="10.7109375" style="8" customWidth="1"/>
    <col min="13213" max="13213" width="23.28515625" style="8" bestFit="1" customWidth="1"/>
    <col min="13214" max="13223" width="11.28515625" style="8" customWidth="1"/>
    <col min="13224" max="13224" width="23.28515625" style="8" bestFit="1" customWidth="1"/>
    <col min="13225" max="13229" width="11.28515625" style="8" customWidth="1"/>
    <col min="13230" max="13324" width="11.5703125" style="8"/>
    <col min="13325" max="13325" width="9.85546875" style="8" customWidth="1"/>
    <col min="13326" max="13326" width="23.28515625" style="8" bestFit="1" customWidth="1"/>
    <col min="13327" max="13344" width="11" style="8" customWidth="1"/>
    <col min="13345" max="13345" width="10.140625" style="8" customWidth="1"/>
    <col min="13346" max="13346" width="23.28515625" style="8" bestFit="1" customWidth="1"/>
    <col min="13347" max="13355" width="11.5703125" style="8" customWidth="1"/>
    <col min="13356" max="13356" width="5.7109375" style="8" customWidth="1"/>
    <col min="13357" max="13357" width="11.5703125" style="8" customWidth="1"/>
    <col min="13358" max="13358" width="23.28515625" style="8" bestFit="1" customWidth="1"/>
    <col min="13359" max="13372" width="11.85546875" style="8" customWidth="1"/>
    <col min="13373" max="13373" width="9.7109375" style="8" customWidth="1"/>
    <col min="13374" max="13374" width="23.28515625" style="8" bestFit="1" customWidth="1"/>
    <col min="13375" max="13390" width="11.7109375" style="8" customWidth="1"/>
    <col min="13391" max="13391" width="4.42578125" style="8" customWidth="1"/>
    <col min="13392" max="13392" width="8.7109375" style="8" customWidth="1"/>
    <col min="13393" max="13393" width="23.28515625" style="8" bestFit="1" customWidth="1"/>
    <col min="13394" max="13405" width="11.28515625" style="8" customWidth="1"/>
    <col min="13406" max="13406" width="5.28515625" style="8" customWidth="1"/>
    <col min="13407" max="13407" width="9.5703125" style="8" customWidth="1"/>
    <col min="13408" max="13408" width="23.28515625" style="8" bestFit="1" customWidth="1"/>
    <col min="13409" max="13415" width="15.42578125" style="8" customWidth="1"/>
    <col min="13416" max="13416" width="6.7109375" style="8" customWidth="1"/>
    <col min="13417" max="13417" width="9" style="8" customWidth="1"/>
    <col min="13418" max="13418" width="23.28515625" style="8" bestFit="1" customWidth="1"/>
    <col min="13419" max="13428" width="11.140625" style="8" customWidth="1"/>
    <col min="13429" max="13429" width="6.7109375" style="8" customWidth="1"/>
    <col min="13430" max="13430" width="10.7109375" style="8" customWidth="1"/>
    <col min="13431" max="13431" width="23.28515625" style="8" bestFit="1" customWidth="1"/>
    <col min="13432" max="13442" width="13.7109375" style="8" customWidth="1"/>
    <col min="13443" max="13443" width="5" style="8" customWidth="1"/>
    <col min="13444" max="13444" width="9.28515625" style="8" customWidth="1"/>
    <col min="13445" max="13445" width="23.28515625" style="8" bestFit="1" customWidth="1"/>
    <col min="13446" max="13448" width="11.28515625" style="8" bestFit="1" customWidth="1"/>
    <col min="13449" max="13449" width="3" style="8" customWidth="1"/>
    <col min="13450" max="13450" width="8.42578125" style="8" customWidth="1"/>
    <col min="13451" max="13451" width="23.28515625" style="8" bestFit="1" customWidth="1"/>
    <col min="13452" max="13465" width="11.85546875" style="8" customWidth="1"/>
    <col min="13466" max="13466" width="14.28515625" style="8" bestFit="1" customWidth="1"/>
    <col min="13467" max="13467" width="4.28515625" style="8" customWidth="1"/>
    <col min="13468" max="13468" width="10.7109375" style="8" customWidth="1"/>
    <col min="13469" max="13469" width="23.28515625" style="8" bestFit="1" customWidth="1"/>
    <col min="13470" max="13479" width="11.28515625" style="8" customWidth="1"/>
    <col min="13480" max="13480" width="23.28515625" style="8" bestFit="1" customWidth="1"/>
    <col min="13481" max="13485" width="11.28515625" style="8" customWidth="1"/>
    <col min="13486" max="13580" width="11.5703125" style="8"/>
    <col min="13581" max="13581" width="9.85546875" style="8" customWidth="1"/>
    <col min="13582" max="13582" width="23.28515625" style="8" bestFit="1" customWidth="1"/>
    <col min="13583" max="13600" width="11" style="8" customWidth="1"/>
    <col min="13601" max="13601" width="10.140625" style="8" customWidth="1"/>
    <col min="13602" max="13602" width="23.28515625" style="8" bestFit="1" customWidth="1"/>
    <col min="13603" max="13611" width="11.5703125" style="8" customWidth="1"/>
    <col min="13612" max="13612" width="5.7109375" style="8" customWidth="1"/>
    <col min="13613" max="13613" width="11.5703125" style="8" customWidth="1"/>
    <col min="13614" max="13614" width="23.28515625" style="8" bestFit="1" customWidth="1"/>
    <col min="13615" max="13628" width="11.85546875" style="8" customWidth="1"/>
    <col min="13629" max="13629" width="9.7109375" style="8" customWidth="1"/>
    <col min="13630" max="13630" width="23.28515625" style="8" bestFit="1" customWidth="1"/>
    <col min="13631" max="13646" width="11.7109375" style="8" customWidth="1"/>
    <col min="13647" max="13647" width="4.42578125" style="8" customWidth="1"/>
    <col min="13648" max="13648" width="8.7109375" style="8" customWidth="1"/>
    <col min="13649" max="13649" width="23.28515625" style="8" bestFit="1" customWidth="1"/>
    <col min="13650" max="13661" width="11.28515625" style="8" customWidth="1"/>
    <col min="13662" max="13662" width="5.28515625" style="8" customWidth="1"/>
    <col min="13663" max="13663" width="9.5703125" style="8" customWidth="1"/>
    <col min="13664" max="13664" width="23.28515625" style="8" bestFit="1" customWidth="1"/>
    <col min="13665" max="13671" width="15.42578125" style="8" customWidth="1"/>
    <col min="13672" max="13672" width="6.7109375" style="8" customWidth="1"/>
    <col min="13673" max="13673" width="9" style="8" customWidth="1"/>
    <col min="13674" max="13674" width="23.28515625" style="8" bestFit="1" customWidth="1"/>
    <col min="13675" max="13684" width="11.140625" style="8" customWidth="1"/>
    <col min="13685" max="13685" width="6.7109375" style="8" customWidth="1"/>
    <col min="13686" max="13686" width="10.7109375" style="8" customWidth="1"/>
    <col min="13687" max="13687" width="23.28515625" style="8" bestFit="1" customWidth="1"/>
    <col min="13688" max="13698" width="13.7109375" style="8" customWidth="1"/>
    <col min="13699" max="13699" width="5" style="8" customWidth="1"/>
    <col min="13700" max="13700" width="9.28515625" style="8" customWidth="1"/>
    <col min="13701" max="13701" width="23.28515625" style="8" bestFit="1" customWidth="1"/>
    <col min="13702" max="13704" width="11.28515625" style="8" bestFit="1" customWidth="1"/>
    <col min="13705" max="13705" width="3" style="8" customWidth="1"/>
    <col min="13706" max="13706" width="8.42578125" style="8" customWidth="1"/>
    <col min="13707" max="13707" width="23.28515625" style="8" bestFit="1" customWidth="1"/>
    <col min="13708" max="13721" width="11.85546875" style="8" customWidth="1"/>
    <col min="13722" max="13722" width="14.28515625" style="8" bestFit="1" customWidth="1"/>
    <col min="13723" max="13723" width="4.28515625" style="8" customWidth="1"/>
    <col min="13724" max="13724" width="10.7109375" style="8" customWidth="1"/>
    <col min="13725" max="13725" width="23.28515625" style="8" bestFit="1" customWidth="1"/>
    <col min="13726" max="13735" width="11.28515625" style="8" customWidth="1"/>
    <col min="13736" max="13736" width="23.28515625" style="8" bestFit="1" customWidth="1"/>
    <col min="13737" max="13741" width="11.28515625" style="8" customWidth="1"/>
    <col min="13742" max="13836" width="11.5703125" style="8"/>
    <col min="13837" max="13837" width="9.85546875" style="8" customWidth="1"/>
    <col min="13838" max="13838" width="23.28515625" style="8" bestFit="1" customWidth="1"/>
    <col min="13839" max="13856" width="11" style="8" customWidth="1"/>
    <col min="13857" max="13857" width="10.140625" style="8" customWidth="1"/>
    <col min="13858" max="13858" width="23.28515625" style="8" bestFit="1" customWidth="1"/>
    <col min="13859" max="13867" width="11.5703125" style="8" customWidth="1"/>
    <col min="13868" max="13868" width="5.7109375" style="8" customWidth="1"/>
    <col min="13869" max="13869" width="11.5703125" style="8" customWidth="1"/>
    <col min="13870" max="13870" width="23.28515625" style="8" bestFit="1" customWidth="1"/>
    <col min="13871" max="13884" width="11.85546875" style="8" customWidth="1"/>
    <col min="13885" max="13885" width="9.7109375" style="8" customWidth="1"/>
    <col min="13886" max="13886" width="23.28515625" style="8" bestFit="1" customWidth="1"/>
    <col min="13887" max="13902" width="11.7109375" style="8" customWidth="1"/>
    <col min="13903" max="13903" width="4.42578125" style="8" customWidth="1"/>
    <col min="13904" max="13904" width="8.7109375" style="8" customWidth="1"/>
    <col min="13905" max="13905" width="23.28515625" style="8" bestFit="1" customWidth="1"/>
    <col min="13906" max="13917" width="11.28515625" style="8" customWidth="1"/>
    <col min="13918" max="13918" width="5.28515625" style="8" customWidth="1"/>
    <col min="13919" max="13919" width="9.5703125" style="8" customWidth="1"/>
    <col min="13920" max="13920" width="23.28515625" style="8" bestFit="1" customWidth="1"/>
    <col min="13921" max="13927" width="15.42578125" style="8" customWidth="1"/>
    <col min="13928" max="13928" width="6.7109375" style="8" customWidth="1"/>
    <col min="13929" max="13929" width="9" style="8" customWidth="1"/>
    <col min="13930" max="13930" width="23.28515625" style="8" bestFit="1" customWidth="1"/>
    <col min="13931" max="13940" width="11.140625" style="8" customWidth="1"/>
    <col min="13941" max="13941" width="6.7109375" style="8" customWidth="1"/>
    <col min="13942" max="13942" width="10.7109375" style="8" customWidth="1"/>
    <col min="13943" max="13943" width="23.28515625" style="8" bestFit="1" customWidth="1"/>
    <col min="13944" max="13954" width="13.7109375" style="8" customWidth="1"/>
    <col min="13955" max="13955" width="5" style="8" customWidth="1"/>
    <col min="13956" max="13956" width="9.28515625" style="8" customWidth="1"/>
    <col min="13957" max="13957" width="23.28515625" style="8" bestFit="1" customWidth="1"/>
    <col min="13958" max="13960" width="11.28515625" style="8" bestFit="1" customWidth="1"/>
    <col min="13961" max="13961" width="3" style="8" customWidth="1"/>
    <col min="13962" max="13962" width="8.42578125" style="8" customWidth="1"/>
    <col min="13963" max="13963" width="23.28515625" style="8" bestFit="1" customWidth="1"/>
    <col min="13964" max="13977" width="11.85546875" style="8" customWidth="1"/>
    <col min="13978" max="13978" width="14.28515625" style="8" bestFit="1" customWidth="1"/>
    <col min="13979" max="13979" width="4.28515625" style="8" customWidth="1"/>
    <col min="13980" max="13980" width="10.7109375" style="8" customWidth="1"/>
    <col min="13981" max="13981" width="23.28515625" style="8" bestFit="1" customWidth="1"/>
    <col min="13982" max="13991" width="11.28515625" style="8" customWidth="1"/>
    <col min="13992" max="13992" width="23.28515625" style="8" bestFit="1" customWidth="1"/>
    <col min="13993" max="13997" width="11.28515625" style="8" customWidth="1"/>
    <col min="13998" max="14092" width="11.5703125" style="8"/>
    <col min="14093" max="14093" width="9.85546875" style="8" customWidth="1"/>
    <col min="14094" max="14094" width="23.28515625" style="8" bestFit="1" customWidth="1"/>
    <col min="14095" max="14112" width="11" style="8" customWidth="1"/>
    <col min="14113" max="14113" width="10.140625" style="8" customWidth="1"/>
    <col min="14114" max="14114" width="23.28515625" style="8" bestFit="1" customWidth="1"/>
    <col min="14115" max="14123" width="11.5703125" style="8" customWidth="1"/>
    <col min="14124" max="14124" width="5.7109375" style="8" customWidth="1"/>
    <col min="14125" max="14125" width="11.5703125" style="8" customWidth="1"/>
    <col min="14126" max="14126" width="23.28515625" style="8" bestFit="1" customWidth="1"/>
    <col min="14127" max="14140" width="11.85546875" style="8" customWidth="1"/>
    <col min="14141" max="14141" width="9.7109375" style="8" customWidth="1"/>
    <col min="14142" max="14142" width="23.28515625" style="8" bestFit="1" customWidth="1"/>
    <col min="14143" max="14158" width="11.7109375" style="8" customWidth="1"/>
    <col min="14159" max="14159" width="4.42578125" style="8" customWidth="1"/>
    <col min="14160" max="14160" width="8.7109375" style="8" customWidth="1"/>
    <col min="14161" max="14161" width="23.28515625" style="8" bestFit="1" customWidth="1"/>
    <col min="14162" max="14173" width="11.28515625" style="8" customWidth="1"/>
    <col min="14174" max="14174" width="5.28515625" style="8" customWidth="1"/>
    <col min="14175" max="14175" width="9.5703125" style="8" customWidth="1"/>
    <col min="14176" max="14176" width="23.28515625" style="8" bestFit="1" customWidth="1"/>
    <col min="14177" max="14183" width="15.42578125" style="8" customWidth="1"/>
    <col min="14184" max="14184" width="6.7109375" style="8" customWidth="1"/>
    <col min="14185" max="14185" width="9" style="8" customWidth="1"/>
    <col min="14186" max="14186" width="23.28515625" style="8" bestFit="1" customWidth="1"/>
    <col min="14187" max="14196" width="11.140625" style="8" customWidth="1"/>
    <col min="14197" max="14197" width="6.7109375" style="8" customWidth="1"/>
    <col min="14198" max="14198" width="10.7109375" style="8" customWidth="1"/>
    <col min="14199" max="14199" width="23.28515625" style="8" bestFit="1" customWidth="1"/>
    <col min="14200" max="14210" width="13.7109375" style="8" customWidth="1"/>
    <col min="14211" max="14211" width="5" style="8" customWidth="1"/>
    <col min="14212" max="14212" width="9.28515625" style="8" customWidth="1"/>
    <col min="14213" max="14213" width="23.28515625" style="8" bestFit="1" customWidth="1"/>
    <col min="14214" max="14216" width="11.28515625" style="8" bestFit="1" customWidth="1"/>
    <col min="14217" max="14217" width="3" style="8" customWidth="1"/>
    <col min="14218" max="14218" width="8.42578125" style="8" customWidth="1"/>
    <col min="14219" max="14219" width="23.28515625" style="8" bestFit="1" customWidth="1"/>
    <col min="14220" max="14233" width="11.85546875" style="8" customWidth="1"/>
    <col min="14234" max="14234" width="14.28515625" style="8" bestFit="1" customWidth="1"/>
    <col min="14235" max="14235" width="4.28515625" style="8" customWidth="1"/>
    <col min="14236" max="14236" width="10.7109375" style="8" customWidth="1"/>
    <col min="14237" max="14237" width="23.28515625" style="8" bestFit="1" customWidth="1"/>
    <col min="14238" max="14247" width="11.28515625" style="8" customWidth="1"/>
    <col min="14248" max="14248" width="23.28515625" style="8" bestFit="1" customWidth="1"/>
    <col min="14249" max="14253" width="11.28515625" style="8" customWidth="1"/>
    <col min="14254" max="14348" width="11.5703125" style="8"/>
    <col min="14349" max="14349" width="9.85546875" style="8" customWidth="1"/>
    <col min="14350" max="14350" width="23.28515625" style="8" bestFit="1" customWidth="1"/>
    <col min="14351" max="14368" width="11" style="8" customWidth="1"/>
    <col min="14369" max="14369" width="10.140625" style="8" customWidth="1"/>
    <col min="14370" max="14370" width="23.28515625" style="8" bestFit="1" customWidth="1"/>
    <col min="14371" max="14379" width="11.5703125" style="8" customWidth="1"/>
    <col min="14380" max="14380" width="5.7109375" style="8" customWidth="1"/>
    <col min="14381" max="14381" width="11.5703125" style="8" customWidth="1"/>
    <col min="14382" max="14382" width="23.28515625" style="8" bestFit="1" customWidth="1"/>
    <col min="14383" max="14396" width="11.85546875" style="8" customWidth="1"/>
    <col min="14397" max="14397" width="9.7109375" style="8" customWidth="1"/>
    <col min="14398" max="14398" width="23.28515625" style="8" bestFit="1" customWidth="1"/>
    <col min="14399" max="14414" width="11.7109375" style="8" customWidth="1"/>
    <col min="14415" max="14415" width="4.42578125" style="8" customWidth="1"/>
    <col min="14416" max="14416" width="8.7109375" style="8" customWidth="1"/>
    <col min="14417" max="14417" width="23.28515625" style="8" bestFit="1" customWidth="1"/>
    <col min="14418" max="14429" width="11.28515625" style="8" customWidth="1"/>
    <col min="14430" max="14430" width="5.28515625" style="8" customWidth="1"/>
    <col min="14431" max="14431" width="9.5703125" style="8" customWidth="1"/>
    <col min="14432" max="14432" width="23.28515625" style="8" bestFit="1" customWidth="1"/>
    <col min="14433" max="14439" width="15.42578125" style="8" customWidth="1"/>
    <col min="14440" max="14440" width="6.7109375" style="8" customWidth="1"/>
    <col min="14441" max="14441" width="9" style="8" customWidth="1"/>
    <col min="14442" max="14442" width="23.28515625" style="8" bestFit="1" customWidth="1"/>
    <col min="14443" max="14452" width="11.140625" style="8" customWidth="1"/>
    <col min="14453" max="14453" width="6.7109375" style="8" customWidth="1"/>
    <col min="14454" max="14454" width="10.7109375" style="8" customWidth="1"/>
    <col min="14455" max="14455" width="23.28515625" style="8" bestFit="1" customWidth="1"/>
    <col min="14456" max="14466" width="13.7109375" style="8" customWidth="1"/>
    <col min="14467" max="14467" width="5" style="8" customWidth="1"/>
    <col min="14468" max="14468" width="9.28515625" style="8" customWidth="1"/>
    <col min="14469" max="14469" width="23.28515625" style="8" bestFit="1" customWidth="1"/>
    <col min="14470" max="14472" width="11.28515625" style="8" bestFit="1" customWidth="1"/>
    <col min="14473" max="14473" width="3" style="8" customWidth="1"/>
    <col min="14474" max="14474" width="8.42578125" style="8" customWidth="1"/>
    <col min="14475" max="14475" width="23.28515625" style="8" bestFit="1" customWidth="1"/>
    <col min="14476" max="14489" width="11.85546875" style="8" customWidth="1"/>
    <col min="14490" max="14490" width="14.28515625" style="8" bestFit="1" customWidth="1"/>
    <col min="14491" max="14491" width="4.28515625" style="8" customWidth="1"/>
    <col min="14492" max="14492" width="10.7109375" style="8" customWidth="1"/>
    <col min="14493" max="14493" width="23.28515625" style="8" bestFit="1" customWidth="1"/>
    <col min="14494" max="14503" width="11.28515625" style="8" customWidth="1"/>
    <col min="14504" max="14504" width="23.28515625" style="8" bestFit="1" customWidth="1"/>
    <col min="14505" max="14509" width="11.28515625" style="8" customWidth="1"/>
    <col min="14510" max="14604" width="11.5703125" style="8"/>
    <col min="14605" max="14605" width="9.85546875" style="8" customWidth="1"/>
    <col min="14606" max="14606" width="23.28515625" style="8" bestFit="1" customWidth="1"/>
    <col min="14607" max="14624" width="11" style="8" customWidth="1"/>
    <col min="14625" max="14625" width="10.140625" style="8" customWidth="1"/>
    <col min="14626" max="14626" width="23.28515625" style="8" bestFit="1" customWidth="1"/>
    <col min="14627" max="14635" width="11.5703125" style="8" customWidth="1"/>
    <col min="14636" max="14636" width="5.7109375" style="8" customWidth="1"/>
    <col min="14637" max="14637" width="11.5703125" style="8" customWidth="1"/>
    <col min="14638" max="14638" width="23.28515625" style="8" bestFit="1" customWidth="1"/>
    <col min="14639" max="14652" width="11.85546875" style="8" customWidth="1"/>
    <col min="14653" max="14653" width="9.7109375" style="8" customWidth="1"/>
    <col min="14654" max="14654" width="23.28515625" style="8" bestFit="1" customWidth="1"/>
    <col min="14655" max="14670" width="11.7109375" style="8" customWidth="1"/>
    <col min="14671" max="14671" width="4.42578125" style="8" customWidth="1"/>
    <col min="14672" max="14672" width="8.7109375" style="8" customWidth="1"/>
    <col min="14673" max="14673" width="23.28515625" style="8" bestFit="1" customWidth="1"/>
    <col min="14674" max="14685" width="11.28515625" style="8" customWidth="1"/>
    <col min="14686" max="14686" width="5.28515625" style="8" customWidth="1"/>
    <col min="14687" max="14687" width="9.5703125" style="8" customWidth="1"/>
    <col min="14688" max="14688" width="23.28515625" style="8" bestFit="1" customWidth="1"/>
    <col min="14689" max="14695" width="15.42578125" style="8" customWidth="1"/>
    <col min="14696" max="14696" width="6.7109375" style="8" customWidth="1"/>
    <col min="14697" max="14697" width="9" style="8" customWidth="1"/>
    <col min="14698" max="14698" width="23.28515625" style="8" bestFit="1" customWidth="1"/>
    <col min="14699" max="14708" width="11.140625" style="8" customWidth="1"/>
    <col min="14709" max="14709" width="6.7109375" style="8" customWidth="1"/>
    <col min="14710" max="14710" width="10.7109375" style="8" customWidth="1"/>
    <col min="14711" max="14711" width="23.28515625" style="8" bestFit="1" customWidth="1"/>
    <col min="14712" max="14722" width="13.7109375" style="8" customWidth="1"/>
    <col min="14723" max="14723" width="5" style="8" customWidth="1"/>
    <col min="14724" max="14724" width="9.28515625" style="8" customWidth="1"/>
    <col min="14725" max="14725" width="23.28515625" style="8" bestFit="1" customWidth="1"/>
    <col min="14726" max="14728" width="11.28515625" style="8" bestFit="1" customWidth="1"/>
    <col min="14729" max="14729" width="3" style="8" customWidth="1"/>
    <col min="14730" max="14730" width="8.42578125" style="8" customWidth="1"/>
    <col min="14731" max="14731" width="23.28515625" style="8" bestFit="1" customWidth="1"/>
    <col min="14732" max="14745" width="11.85546875" style="8" customWidth="1"/>
    <col min="14746" max="14746" width="14.28515625" style="8" bestFit="1" customWidth="1"/>
    <col min="14747" max="14747" width="4.28515625" style="8" customWidth="1"/>
    <col min="14748" max="14748" width="10.7109375" style="8" customWidth="1"/>
    <col min="14749" max="14749" width="23.28515625" style="8" bestFit="1" customWidth="1"/>
    <col min="14750" max="14759" width="11.28515625" style="8" customWidth="1"/>
    <col min="14760" max="14760" width="23.28515625" style="8" bestFit="1" customWidth="1"/>
    <col min="14761" max="14765" width="11.28515625" style="8" customWidth="1"/>
    <col min="14766" max="14860" width="11.5703125" style="8"/>
    <col min="14861" max="14861" width="9.85546875" style="8" customWidth="1"/>
    <col min="14862" max="14862" width="23.28515625" style="8" bestFit="1" customWidth="1"/>
    <col min="14863" max="14880" width="11" style="8" customWidth="1"/>
    <col min="14881" max="14881" width="10.140625" style="8" customWidth="1"/>
    <col min="14882" max="14882" width="23.28515625" style="8" bestFit="1" customWidth="1"/>
    <col min="14883" max="14891" width="11.5703125" style="8" customWidth="1"/>
    <col min="14892" max="14892" width="5.7109375" style="8" customWidth="1"/>
    <col min="14893" max="14893" width="11.5703125" style="8" customWidth="1"/>
    <col min="14894" max="14894" width="23.28515625" style="8" bestFit="1" customWidth="1"/>
    <col min="14895" max="14908" width="11.85546875" style="8" customWidth="1"/>
    <col min="14909" max="14909" width="9.7109375" style="8" customWidth="1"/>
    <col min="14910" max="14910" width="23.28515625" style="8" bestFit="1" customWidth="1"/>
    <col min="14911" max="14926" width="11.7109375" style="8" customWidth="1"/>
    <col min="14927" max="14927" width="4.42578125" style="8" customWidth="1"/>
    <col min="14928" max="14928" width="8.7109375" style="8" customWidth="1"/>
    <col min="14929" max="14929" width="23.28515625" style="8" bestFit="1" customWidth="1"/>
    <col min="14930" max="14941" width="11.28515625" style="8" customWidth="1"/>
    <col min="14942" max="14942" width="5.28515625" style="8" customWidth="1"/>
    <col min="14943" max="14943" width="9.5703125" style="8" customWidth="1"/>
    <col min="14944" max="14944" width="23.28515625" style="8" bestFit="1" customWidth="1"/>
    <col min="14945" max="14951" width="15.42578125" style="8" customWidth="1"/>
    <col min="14952" max="14952" width="6.7109375" style="8" customWidth="1"/>
    <col min="14953" max="14953" width="9" style="8" customWidth="1"/>
    <col min="14954" max="14954" width="23.28515625" style="8" bestFit="1" customWidth="1"/>
    <col min="14955" max="14964" width="11.140625" style="8" customWidth="1"/>
    <col min="14965" max="14965" width="6.7109375" style="8" customWidth="1"/>
    <col min="14966" max="14966" width="10.7109375" style="8" customWidth="1"/>
    <col min="14967" max="14967" width="23.28515625" style="8" bestFit="1" customWidth="1"/>
    <col min="14968" max="14978" width="13.7109375" style="8" customWidth="1"/>
    <col min="14979" max="14979" width="5" style="8" customWidth="1"/>
    <col min="14980" max="14980" width="9.28515625" style="8" customWidth="1"/>
    <col min="14981" max="14981" width="23.28515625" style="8" bestFit="1" customWidth="1"/>
    <col min="14982" max="14984" width="11.28515625" style="8" bestFit="1" customWidth="1"/>
    <col min="14985" max="14985" width="3" style="8" customWidth="1"/>
    <col min="14986" max="14986" width="8.42578125" style="8" customWidth="1"/>
    <col min="14987" max="14987" width="23.28515625" style="8" bestFit="1" customWidth="1"/>
    <col min="14988" max="15001" width="11.85546875" style="8" customWidth="1"/>
    <col min="15002" max="15002" width="14.28515625" style="8" bestFit="1" customWidth="1"/>
    <col min="15003" max="15003" width="4.28515625" style="8" customWidth="1"/>
    <col min="15004" max="15004" width="10.7109375" style="8" customWidth="1"/>
    <col min="15005" max="15005" width="23.28515625" style="8" bestFit="1" customWidth="1"/>
    <col min="15006" max="15015" width="11.28515625" style="8" customWidth="1"/>
    <col min="15016" max="15016" width="23.28515625" style="8" bestFit="1" customWidth="1"/>
    <col min="15017" max="15021" width="11.28515625" style="8" customWidth="1"/>
    <col min="15022" max="15116" width="11.5703125" style="8"/>
    <col min="15117" max="15117" width="9.85546875" style="8" customWidth="1"/>
    <col min="15118" max="15118" width="23.28515625" style="8" bestFit="1" customWidth="1"/>
    <col min="15119" max="15136" width="11" style="8" customWidth="1"/>
    <col min="15137" max="15137" width="10.140625" style="8" customWidth="1"/>
    <col min="15138" max="15138" width="23.28515625" style="8" bestFit="1" customWidth="1"/>
    <col min="15139" max="15147" width="11.5703125" style="8" customWidth="1"/>
    <col min="15148" max="15148" width="5.7109375" style="8" customWidth="1"/>
    <col min="15149" max="15149" width="11.5703125" style="8" customWidth="1"/>
    <col min="15150" max="15150" width="23.28515625" style="8" bestFit="1" customWidth="1"/>
    <col min="15151" max="15164" width="11.85546875" style="8" customWidth="1"/>
    <col min="15165" max="15165" width="9.7109375" style="8" customWidth="1"/>
    <col min="15166" max="15166" width="23.28515625" style="8" bestFit="1" customWidth="1"/>
    <col min="15167" max="15182" width="11.7109375" style="8" customWidth="1"/>
    <col min="15183" max="15183" width="4.42578125" style="8" customWidth="1"/>
    <col min="15184" max="15184" width="8.7109375" style="8" customWidth="1"/>
    <col min="15185" max="15185" width="23.28515625" style="8" bestFit="1" customWidth="1"/>
    <col min="15186" max="15197" width="11.28515625" style="8" customWidth="1"/>
    <col min="15198" max="15198" width="5.28515625" style="8" customWidth="1"/>
    <col min="15199" max="15199" width="9.5703125" style="8" customWidth="1"/>
    <col min="15200" max="15200" width="23.28515625" style="8" bestFit="1" customWidth="1"/>
    <col min="15201" max="15207" width="15.42578125" style="8" customWidth="1"/>
    <col min="15208" max="15208" width="6.7109375" style="8" customWidth="1"/>
    <col min="15209" max="15209" width="9" style="8" customWidth="1"/>
    <col min="15210" max="15210" width="23.28515625" style="8" bestFit="1" customWidth="1"/>
    <col min="15211" max="15220" width="11.140625" style="8" customWidth="1"/>
    <col min="15221" max="15221" width="6.7109375" style="8" customWidth="1"/>
    <col min="15222" max="15222" width="10.7109375" style="8" customWidth="1"/>
    <col min="15223" max="15223" width="23.28515625" style="8" bestFit="1" customWidth="1"/>
    <col min="15224" max="15234" width="13.7109375" style="8" customWidth="1"/>
    <col min="15235" max="15235" width="5" style="8" customWidth="1"/>
    <col min="15236" max="15236" width="9.28515625" style="8" customWidth="1"/>
    <col min="15237" max="15237" width="23.28515625" style="8" bestFit="1" customWidth="1"/>
    <col min="15238" max="15240" width="11.28515625" style="8" bestFit="1" customWidth="1"/>
    <col min="15241" max="15241" width="3" style="8" customWidth="1"/>
    <col min="15242" max="15242" width="8.42578125" style="8" customWidth="1"/>
    <col min="15243" max="15243" width="23.28515625" style="8" bestFit="1" customWidth="1"/>
    <col min="15244" max="15257" width="11.85546875" style="8" customWidth="1"/>
    <col min="15258" max="15258" width="14.28515625" style="8" bestFit="1" customWidth="1"/>
    <col min="15259" max="15259" width="4.28515625" style="8" customWidth="1"/>
    <col min="15260" max="15260" width="10.7109375" style="8" customWidth="1"/>
    <col min="15261" max="15261" width="23.28515625" style="8" bestFit="1" customWidth="1"/>
    <col min="15262" max="15271" width="11.28515625" style="8" customWidth="1"/>
    <col min="15272" max="15272" width="23.28515625" style="8" bestFit="1" customWidth="1"/>
    <col min="15273" max="15277" width="11.28515625" style="8" customWidth="1"/>
    <col min="15278" max="15372" width="11.5703125" style="8"/>
    <col min="15373" max="15373" width="9.85546875" style="8" customWidth="1"/>
    <col min="15374" max="15374" width="23.28515625" style="8" bestFit="1" customWidth="1"/>
    <col min="15375" max="15392" width="11" style="8" customWidth="1"/>
    <col min="15393" max="15393" width="10.140625" style="8" customWidth="1"/>
    <col min="15394" max="15394" width="23.28515625" style="8" bestFit="1" customWidth="1"/>
    <col min="15395" max="15403" width="11.5703125" style="8" customWidth="1"/>
    <col min="15404" max="15404" width="5.7109375" style="8" customWidth="1"/>
    <col min="15405" max="15405" width="11.5703125" style="8" customWidth="1"/>
    <col min="15406" max="15406" width="23.28515625" style="8" bestFit="1" customWidth="1"/>
    <col min="15407" max="15420" width="11.85546875" style="8" customWidth="1"/>
    <col min="15421" max="15421" width="9.7109375" style="8" customWidth="1"/>
    <col min="15422" max="15422" width="23.28515625" style="8" bestFit="1" customWidth="1"/>
    <col min="15423" max="15438" width="11.7109375" style="8" customWidth="1"/>
    <col min="15439" max="15439" width="4.42578125" style="8" customWidth="1"/>
    <col min="15440" max="15440" width="8.7109375" style="8" customWidth="1"/>
    <col min="15441" max="15441" width="23.28515625" style="8" bestFit="1" customWidth="1"/>
    <col min="15442" max="15453" width="11.28515625" style="8" customWidth="1"/>
    <col min="15454" max="15454" width="5.28515625" style="8" customWidth="1"/>
    <col min="15455" max="15455" width="9.5703125" style="8" customWidth="1"/>
    <col min="15456" max="15456" width="23.28515625" style="8" bestFit="1" customWidth="1"/>
    <col min="15457" max="15463" width="15.42578125" style="8" customWidth="1"/>
    <col min="15464" max="15464" width="6.7109375" style="8" customWidth="1"/>
    <col min="15465" max="15465" width="9" style="8" customWidth="1"/>
    <col min="15466" max="15466" width="23.28515625" style="8" bestFit="1" customWidth="1"/>
    <col min="15467" max="15476" width="11.140625" style="8" customWidth="1"/>
    <col min="15477" max="15477" width="6.7109375" style="8" customWidth="1"/>
    <col min="15478" max="15478" width="10.7109375" style="8" customWidth="1"/>
    <col min="15479" max="15479" width="23.28515625" style="8" bestFit="1" customWidth="1"/>
    <col min="15480" max="15490" width="13.7109375" style="8" customWidth="1"/>
    <col min="15491" max="15491" width="5" style="8" customWidth="1"/>
    <col min="15492" max="15492" width="9.28515625" style="8" customWidth="1"/>
    <col min="15493" max="15493" width="23.28515625" style="8" bestFit="1" customWidth="1"/>
    <col min="15494" max="15496" width="11.28515625" style="8" bestFit="1" customWidth="1"/>
    <col min="15497" max="15497" width="3" style="8" customWidth="1"/>
    <col min="15498" max="15498" width="8.42578125" style="8" customWidth="1"/>
    <col min="15499" max="15499" width="23.28515625" style="8" bestFit="1" customWidth="1"/>
    <col min="15500" max="15513" width="11.85546875" style="8" customWidth="1"/>
    <col min="15514" max="15514" width="14.28515625" style="8" bestFit="1" customWidth="1"/>
    <col min="15515" max="15515" width="4.28515625" style="8" customWidth="1"/>
    <col min="15516" max="15516" width="10.7109375" style="8" customWidth="1"/>
    <col min="15517" max="15517" width="23.28515625" style="8" bestFit="1" customWidth="1"/>
    <col min="15518" max="15527" width="11.28515625" style="8" customWidth="1"/>
    <col min="15528" max="15528" width="23.28515625" style="8" bestFit="1" customWidth="1"/>
    <col min="15529" max="15533" width="11.28515625" style="8" customWidth="1"/>
    <col min="15534" max="15628" width="11.5703125" style="8"/>
    <col min="15629" max="15629" width="9.85546875" style="8" customWidth="1"/>
    <col min="15630" max="15630" width="23.28515625" style="8" bestFit="1" customWidth="1"/>
    <col min="15631" max="15648" width="11" style="8" customWidth="1"/>
    <col min="15649" max="15649" width="10.140625" style="8" customWidth="1"/>
    <col min="15650" max="15650" width="23.28515625" style="8" bestFit="1" customWidth="1"/>
    <col min="15651" max="15659" width="11.5703125" style="8" customWidth="1"/>
    <col min="15660" max="15660" width="5.7109375" style="8" customWidth="1"/>
    <col min="15661" max="15661" width="11.5703125" style="8" customWidth="1"/>
    <col min="15662" max="15662" width="23.28515625" style="8" bestFit="1" customWidth="1"/>
    <col min="15663" max="15676" width="11.85546875" style="8" customWidth="1"/>
    <col min="15677" max="15677" width="9.7109375" style="8" customWidth="1"/>
    <col min="15678" max="15678" width="23.28515625" style="8" bestFit="1" customWidth="1"/>
    <col min="15679" max="15694" width="11.7109375" style="8" customWidth="1"/>
    <col min="15695" max="15695" width="4.42578125" style="8" customWidth="1"/>
    <col min="15696" max="15696" width="8.7109375" style="8" customWidth="1"/>
    <col min="15697" max="15697" width="23.28515625" style="8" bestFit="1" customWidth="1"/>
    <col min="15698" max="15709" width="11.28515625" style="8" customWidth="1"/>
    <col min="15710" max="15710" width="5.28515625" style="8" customWidth="1"/>
    <col min="15711" max="15711" width="9.5703125" style="8" customWidth="1"/>
    <col min="15712" max="15712" width="23.28515625" style="8" bestFit="1" customWidth="1"/>
    <col min="15713" max="15719" width="15.42578125" style="8" customWidth="1"/>
    <col min="15720" max="15720" width="6.7109375" style="8" customWidth="1"/>
    <col min="15721" max="15721" width="9" style="8" customWidth="1"/>
    <col min="15722" max="15722" width="23.28515625" style="8" bestFit="1" customWidth="1"/>
    <col min="15723" max="15732" width="11.140625" style="8" customWidth="1"/>
    <col min="15733" max="15733" width="6.7109375" style="8" customWidth="1"/>
    <col min="15734" max="15734" width="10.7109375" style="8" customWidth="1"/>
    <col min="15735" max="15735" width="23.28515625" style="8" bestFit="1" customWidth="1"/>
    <col min="15736" max="15746" width="13.7109375" style="8" customWidth="1"/>
    <col min="15747" max="15747" width="5" style="8" customWidth="1"/>
    <col min="15748" max="15748" width="9.28515625" style="8" customWidth="1"/>
    <col min="15749" max="15749" width="23.28515625" style="8" bestFit="1" customWidth="1"/>
    <col min="15750" max="15752" width="11.28515625" style="8" bestFit="1" customWidth="1"/>
    <col min="15753" max="15753" width="3" style="8" customWidth="1"/>
    <col min="15754" max="15754" width="8.42578125" style="8" customWidth="1"/>
    <col min="15755" max="15755" width="23.28515625" style="8" bestFit="1" customWidth="1"/>
    <col min="15756" max="15769" width="11.85546875" style="8" customWidth="1"/>
    <col min="15770" max="15770" width="14.28515625" style="8" bestFit="1" customWidth="1"/>
    <col min="15771" max="15771" width="4.28515625" style="8" customWidth="1"/>
    <col min="15772" max="15772" width="10.7109375" style="8" customWidth="1"/>
    <col min="15773" max="15773" width="23.28515625" style="8" bestFit="1" customWidth="1"/>
    <col min="15774" max="15783" width="11.28515625" style="8" customWidth="1"/>
    <col min="15784" max="15784" width="23.28515625" style="8" bestFit="1" customWidth="1"/>
    <col min="15785" max="15789" width="11.28515625" style="8" customWidth="1"/>
    <col min="15790" max="15884" width="11.5703125" style="8"/>
    <col min="15885" max="15885" width="9.85546875" style="8" customWidth="1"/>
    <col min="15886" max="15886" width="23.28515625" style="8" bestFit="1" customWidth="1"/>
    <col min="15887" max="15904" width="11" style="8" customWidth="1"/>
    <col min="15905" max="15905" width="10.140625" style="8" customWidth="1"/>
    <col min="15906" max="15906" width="23.28515625" style="8" bestFit="1" customWidth="1"/>
    <col min="15907" max="15915" width="11.5703125" style="8" customWidth="1"/>
    <col min="15916" max="15916" width="5.7109375" style="8" customWidth="1"/>
    <col min="15917" max="15917" width="11.5703125" style="8" customWidth="1"/>
    <col min="15918" max="15918" width="23.28515625" style="8" bestFit="1" customWidth="1"/>
    <col min="15919" max="15932" width="11.85546875" style="8" customWidth="1"/>
    <col min="15933" max="15933" width="9.7109375" style="8" customWidth="1"/>
    <col min="15934" max="15934" width="23.28515625" style="8" bestFit="1" customWidth="1"/>
    <col min="15935" max="15950" width="11.7109375" style="8" customWidth="1"/>
    <col min="15951" max="15951" width="4.42578125" style="8" customWidth="1"/>
    <col min="15952" max="15952" width="8.7109375" style="8" customWidth="1"/>
    <col min="15953" max="15953" width="23.28515625" style="8" bestFit="1" customWidth="1"/>
    <col min="15954" max="15965" width="11.28515625" style="8" customWidth="1"/>
    <col min="15966" max="15966" width="5.28515625" style="8" customWidth="1"/>
    <col min="15967" max="15967" width="9.5703125" style="8" customWidth="1"/>
    <col min="15968" max="15968" width="23.28515625" style="8" bestFit="1" customWidth="1"/>
    <col min="15969" max="15975" width="15.42578125" style="8" customWidth="1"/>
    <col min="15976" max="15976" width="6.7109375" style="8" customWidth="1"/>
    <col min="15977" max="15977" width="9" style="8" customWidth="1"/>
    <col min="15978" max="15978" width="23.28515625" style="8" bestFit="1" customWidth="1"/>
    <col min="15979" max="15988" width="11.140625" style="8" customWidth="1"/>
    <col min="15989" max="15989" width="6.7109375" style="8" customWidth="1"/>
    <col min="15990" max="15990" width="10.7109375" style="8" customWidth="1"/>
    <col min="15991" max="15991" width="23.28515625" style="8" bestFit="1" customWidth="1"/>
    <col min="15992" max="16002" width="13.7109375" style="8" customWidth="1"/>
    <col min="16003" max="16003" width="5" style="8" customWidth="1"/>
    <col min="16004" max="16004" width="9.28515625" style="8" customWidth="1"/>
    <col min="16005" max="16005" width="23.28515625" style="8" bestFit="1" customWidth="1"/>
    <col min="16006" max="16008" width="11.28515625" style="8" bestFit="1" customWidth="1"/>
    <col min="16009" max="16009" width="3" style="8" customWidth="1"/>
    <col min="16010" max="16010" width="8.42578125" style="8" customWidth="1"/>
    <col min="16011" max="16011" width="23.28515625" style="8" bestFit="1" customWidth="1"/>
    <col min="16012" max="16025" width="11.85546875" style="8" customWidth="1"/>
    <col min="16026" max="16026" width="14.28515625" style="8" bestFit="1" customWidth="1"/>
    <col min="16027" max="16027" width="4.28515625" style="8" customWidth="1"/>
    <col min="16028" max="16028" width="10.7109375" style="8" customWidth="1"/>
    <col min="16029" max="16029" width="23.28515625" style="8" bestFit="1" customWidth="1"/>
    <col min="16030" max="16039" width="11.28515625" style="8" customWidth="1"/>
    <col min="16040" max="16040" width="23.28515625" style="8" bestFit="1" customWidth="1"/>
    <col min="16041" max="16045" width="11.28515625" style="8" customWidth="1"/>
    <col min="16046" max="16140" width="11.5703125" style="8"/>
    <col min="16141" max="16141" width="9.85546875" style="8" customWidth="1"/>
    <col min="16142" max="16142" width="23.28515625" style="8" bestFit="1" customWidth="1"/>
    <col min="16143" max="16160" width="11" style="8" customWidth="1"/>
    <col min="16161" max="16161" width="10.140625" style="8" customWidth="1"/>
    <col min="16162" max="16162" width="23.28515625" style="8" bestFit="1" customWidth="1"/>
    <col min="16163" max="16171" width="11.5703125" style="8" customWidth="1"/>
    <col min="16172" max="16172" width="5.7109375" style="8" customWidth="1"/>
    <col min="16173" max="16173" width="11.5703125" style="8" customWidth="1"/>
    <col min="16174" max="16174" width="23.28515625" style="8" bestFit="1" customWidth="1"/>
    <col min="16175" max="16188" width="11.85546875" style="8" customWidth="1"/>
    <col min="16189" max="16189" width="9.7109375" style="8" customWidth="1"/>
    <col min="16190" max="16190" width="23.28515625" style="8" bestFit="1" customWidth="1"/>
    <col min="16191" max="16206" width="11.7109375" style="8" customWidth="1"/>
    <col min="16207" max="16207" width="4.42578125" style="8" customWidth="1"/>
    <col min="16208" max="16208" width="8.7109375" style="8" customWidth="1"/>
    <col min="16209" max="16209" width="23.28515625" style="8" bestFit="1" customWidth="1"/>
    <col min="16210" max="16221" width="11.28515625" style="8" customWidth="1"/>
    <col min="16222" max="16222" width="5.28515625" style="8" customWidth="1"/>
    <col min="16223" max="16223" width="9.5703125" style="8" customWidth="1"/>
    <col min="16224" max="16224" width="23.28515625" style="8" bestFit="1" customWidth="1"/>
    <col min="16225" max="16231" width="15.42578125" style="8" customWidth="1"/>
    <col min="16232" max="16232" width="6.7109375" style="8" customWidth="1"/>
    <col min="16233" max="16233" width="9" style="8" customWidth="1"/>
    <col min="16234" max="16234" width="23.28515625" style="8" bestFit="1" customWidth="1"/>
    <col min="16235" max="16244" width="11.140625" style="8" customWidth="1"/>
    <col min="16245" max="16245" width="6.7109375" style="8" customWidth="1"/>
    <col min="16246" max="16246" width="10.7109375" style="8" customWidth="1"/>
    <col min="16247" max="16247" width="23.28515625" style="8" bestFit="1" customWidth="1"/>
    <col min="16248" max="16258" width="13.7109375" style="8" customWidth="1"/>
    <col min="16259" max="16259" width="5" style="8" customWidth="1"/>
    <col min="16260" max="16260" width="9.28515625" style="8" customWidth="1"/>
    <col min="16261" max="16261" width="23.28515625" style="8" bestFit="1" customWidth="1"/>
    <col min="16262" max="16264" width="11.28515625" style="8" bestFit="1" customWidth="1"/>
    <col min="16265" max="16265" width="3" style="8" customWidth="1"/>
    <col min="16266" max="16266" width="8.42578125" style="8" customWidth="1"/>
    <col min="16267" max="16267" width="23.28515625" style="8" bestFit="1" customWidth="1"/>
    <col min="16268" max="16281" width="11.85546875" style="8" customWidth="1"/>
    <col min="16282" max="16282" width="14.28515625" style="8" bestFit="1" customWidth="1"/>
    <col min="16283" max="16283" width="4.28515625" style="8" customWidth="1"/>
    <col min="16284" max="16284" width="10.7109375" style="8" customWidth="1"/>
    <col min="16285" max="16285" width="23.28515625" style="8" bestFit="1" customWidth="1"/>
    <col min="16286" max="16295" width="11.28515625" style="8" customWidth="1"/>
    <col min="16296" max="16296" width="23.28515625" style="8" bestFit="1" customWidth="1"/>
    <col min="16297" max="16301" width="11.28515625" style="8" customWidth="1"/>
    <col min="16302" max="16384" width="11.5703125" style="8"/>
  </cols>
  <sheetData>
    <row r="1" spans="1:173" ht="16.5" thickBot="1" x14ac:dyDescent="0.3">
      <c r="A1" s="2"/>
      <c r="B1" s="691" t="s">
        <v>20</v>
      </c>
      <c r="C1" s="692"/>
      <c r="D1" s="692"/>
      <c r="E1" s="692"/>
      <c r="F1" s="692"/>
      <c r="G1" s="692"/>
      <c r="H1" s="692"/>
      <c r="I1" s="692"/>
      <c r="J1" s="692"/>
      <c r="K1" s="692"/>
      <c r="L1" s="692"/>
      <c r="M1" s="692"/>
      <c r="N1" s="692"/>
      <c r="O1" s="692"/>
      <c r="P1" s="692"/>
      <c r="Q1" s="692"/>
      <c r="R1" s="692"/>
      <c r="S1" s="692"/>
      <c r="T1" s="692"/>
      <c r="U1" s="692"/>
      <c r="V1" s="693"/>
      <c r="W1" s="3"/>
      <c r="X1" s="691" t="s">
        <v>21</v>
      </c>
      <c r="Y1" s="694"/>
      <c r="Z1" s="694"/>
      <c r="AA1" s="694"/>
      <c r="AB1" s="694"/>
      <c r="AC1" s="694"/>
      <c r="AD1" s="694"/>
      <c r="AE1" s="694"/>
      <c r="AF1" s="694"/>
      <c r="AG1" s="694"/>
      <c r="AH1" s="4"/>
      <c r="AI1" s="4"/>
      <c r="AJ1" s="695" t="s">
        <v>21</v>
      </c>
      <c r="AK1" s="696"/>
      <c r="AL1" s="696"/>
      <c r="AM1" s="696"/>
      <c r="AN1" s="696"/>
      <c r="AO1" s="696"/>
      <c r="AP1" s="696"/>
      <c r="AQ1" s="696"/>
      <c r="AR1" s="696"/>
      <c r="AS1" s="696"/>
      <c r="AT1" s="696"/>
      <c r="AU1" s="696"/>
      <c r="AV1" s="696"/>
      <c r="AW1" s="697"/>
      <c r="AX1" s="3"/>
      <c r="AY1" s="3"/>
      <c r="AZ1" s="691" t="s">
        <v>21</v>
      </c>
      <c r="BA1" s="694"/>
      <c r="BB1" s="694"/>
      <c r="BC1" s="694"/>
      <c r="BD1" s="694"/>
      <c r="BE1" s="694"/>
      <c r="BF1" s="694"/>
      <c r="BG1" s="694"/>
      <c r="BH1" s="694"/>
      <c r="BI1" s="694"/>
      <c r="BJ1" s="694"/>
      <c r="BK1" s="694"/>
      <c r="BL1" s="694"/>
      <c r="BM1" s="694"/>
      <c r="BN1" s="694"/>
      <c r="BO1" s="694"/>
      <c r="BP1" s="698"/>
      <c r="BS1" s="695" t="s">
        <v>21</v>
      </c>
      <c r="BT1" s="696"/>
      <c r="BU1" s="696"/>
      <c r="BV1" s="696"/>
      <c r="BW1" s="696"/>
      <c r="BX1" s="696"/>
      <c r="BY1" s="696"/>
      <c r="BZ1" s="696"/>
      <c r="CA1" s="696"/>
      <c r="CB1" s="696"/>
      <c r="CC1" s="696"/>
      <c r="CD1" s="696"/>
      <c r="CE1" s="696"/>
      <c r="CF1" s="697"/>
      <c r="CG1" s="3"/>
      <c r="CH1" s="3"/>
      <c r="CI1" s="3"/>
      <c r="CJ1" s="3"/>
      <c r="CK1" s="3"/>
      <c r="CL1" s="3"/>
      <c r="CM1" s="3"/>
      <c r="CN1" s="3"/>
      <c r="CO1" s="3"/>
      <c r="CP1" s="5"/>
      <c r="CR1" s="5"/>
      <c r="CS1" s="5"/>
      <c r="CT1" s="5"/>
      <c r="CU1" s="5"/>
      <c r="CV1" s="5"/>
      <c r="CW1" s="5"/>
      <c r="CX1" s="5"/>
      <c r="CY1" s="5"/>
      <c r="CZ1" s="5"/>
      <c r="DA1" s="5"/>
      <c r="DB1" s="5"/>
      <c r="DC1" s="5"/>
      <c r="DD1" s="5"/>
      <c r="DE1" s="5"/>
      <c r="DF1" s="5"/>
      <c r="DG1" s="5"/>
      <c r="DH1" s="5"/>
      <c r="DI1" s="5"/>
      <c r="DJ1" s="5"/>
      <c r="DK1" s="5"/>
      <c r="DL1" s="3"/>
      <c r="DM1" s="695" t="s">
        <v>22</v>
      </c>
      <c r="DN1" s="696"/>
      <c r="DO1" s="696"/>
      <c r="DP1" s="696"/>
      <c r="DQ1" s="696"/>
      <c r="DR1" s="696"/>
      <c r="DS1" s="696"/>
      <c r="DT1" s="696"/>
      <c r="DU1" s="696"/>
      <c r="DV1" s="696"/>
      <c r="DW1" s="696"/>
      <c r="DX1" s="696"/>
      <c r="DY1" s="696"/>
      <c r="DZ1" s="3"/>
      <c r="EA1" s="5"/>
      <c r="EB1" s="674" t="s">
        <v>22</v>
      </c>
      <c r="EC1" s="675"/>
      <c r="ED1" s="675"/>
      <c r="EE1" s="675"/>
      <c r="EF1" s="6"/>
      <c r="EG1" s="7"/>
      <c r="EH1" s="676" t="s">
        <v>23</v>
      </c>
      <c r="EI1" s="677"/>
      <c r="EJ1" s="677"/>
      <c r="EK1" s="677"/>
      <c r="EL1" s="677"/>
      <c r="EM1" s="677"/>
      <c r="EN1" s="677"/>
      <c r="EO1" s="677"/>
      <c r="EP1" s="677"/>
      <c r="EQ1" s="677"/>
      <c r="ER1" s="677"/>
      <c r="ES1" s="677"/>
      <c r="ET1" s="677"/>
      <c r="EU1" s="677"/>
      <c r="EV1" s="677"/>
      <c r="EW1" s="678"/>
      <c r="EX1" s="276"/>
      <c r="EY1" s="277"/>
      <c r="EZ1" s="3"/>
      <c r="FA1" s="676" t="s">
        <v>23</v>
      </c>
      <c r="FB1" s="677"/>
      <c r="FC1" s="677"/>
      <c r="FD1" s="677"/>
      <c r="FE1" s="677"/>
      <c r="FF1" s="677"/>
      <c r="FG1" s="677"/>
      <c r="FH1" s="677"/>
      <c r="FI1" s="677"/>
      <c r="FJ1" s="677"/>
      <c r="FK1" s="3"/>
    </row>
    <row r="2" spans="1:173" ht="21.6" customHeight="1" thickBot="1" x14ac:dyDescent="0.3">
      <c r="A2" s="5"/>
      <c r="B2" s="679" t="s">
        <v>24</v>
      </c>
      <c r="C2" s="680"/>
      <c r="D2" s="680"/>
      <c r="E2" s="680"/>
      <c r="F2" s="680"/>
      <c r="G2" s="680"/>
      <c r="H2" s="680"/>
      <c r="I2" s="680"/>
      <c r="J2" s="680"/>
      <c r="K2" s="680"/>
      <c r="L2" s="680"/>
      <c r="M2" s="680"/>
      <c r="N2" s="680"/>
      <c r="O2" s="680"/>
      <c r="P2" s="680"/>
      <c r="Q2" s="680"/>
      <c r="R2" s="680"/>
      <c r="S2" s="680"/>
      <c r="T2" s="680"/>
      <c r="U2" s="680"/>
      <c r="V2" s="681"/>
      <c r="W2" s="9"/>
      <c r="X2" s="682" t="s">
        <v>25</v>
      </c>
      <c r="Y2" s="683"/>
      <c r="Z2" s="683"/>
      <c r="AA2" s="683"/>
      <c r="AB2" s="683"/>
      <c r="AC2" s="683"/>
      <c r="AD2" s="683"/>
      <c r="AE2" s="683"/>
      <c r="AF2" s="683"/>
      <c r="AG2" s="683"/>
      <c r="AH2" s="9"/>
      <c r="AI2" s="10"/>
      <c r="AJ2" s="685" t="s">
        <v>26</v>
      </c>
      <c r="AK2" s="685"/>
      <c r="AL2" s="685"/>
      <c r="AM2" s="685"/>
      <c r="AN2" s="685"/>
      <c r="AO2" s="685"/>
      <c r="AP2" s="685"/>
      <c r="AQ2" s="685"/>
      <c r="AR2" s="685"/>
      <c r="AS2" s="685"/>
      <c r="AT2" s="685"/>
      <c r="AU2" s="685"/>
      <c r="AV2" s="685"/>
      <c r="AW2" s="686"/>
      <c r="AX2" s="9"/>
      <c r="AY2" s="9"/>
      <c r="AZ2" s="682" t="s">
        <v>27</v>
      </c>
      <c r="BA2" s="683"/>
      <c r="BB2" s="683"/>
      <c r="BC2" s="683"/>
      <c r="BD2" s="683"/>
      <c r="BE2" s="683"/>
      <c r="BF2" s="683"/>
      <c r="BG2" s="683"/>
      <c r="BH2" s="683"/>
      <c r="BI2" s="683"/>
      <c r="BJ2" s="683"/>
      <c r="BK2" s="683"/>
      <c r="BL2" s="683"/>
      <c r="BM2" s="683"/>
      <c r="BN2" s="683"/>
      <c r="BO2" s="683"/>
      <c r="BP2" s="684"/>
      <c r="BQ2" s="9"/>
      <c r="BR2" s="9"/>
      <c r="BS2" s="687" t="s">
        <v>28</v>
      </c>
      <c r="BT2" s="685"/>
      <c r="BU2" s="685"/>
      <c r="BV2" s="685"/>
      <c r="BW2" s="685"/>
      <c r="BX2" s="685"/>
      <c r="BY2" s="685"/>
      <c r="BZ2" s="685"/>
      <c r="CA2" s="685"/>
      <c r="CB2" s="685"/>
      <c r="CC2" s="685"/>
      <c r="CD2" s="685"/>
      <c r="CE2" s="685"/>
      <c r="CF2" s="686"/>
      <c r="CG2" s="9"/>
      <c r="CH2" s="9"/>
      <c r="CI2" s="688" t="s">
        <v>29</v>
      </c>
      <c r="CJ2" s="689"/>
      <c r="CK2" s="689"/>
      <c r="CL2" s="689"/>
      <c r="CM2" s="689"/>
      <c r="CN2" s="689"/>
      <c r="CO2" s="689"/>
      <c r="CP2" s="690"/>
      <c r="CQ2" s="9"/>
      <c r="CR2" s="11"/>
      <c r="CS2" s="688" t="s">
        <v>30</v>
      </c>
      <c r="CT2" s="689"/>
      <c r="CU2" s="689"/>
      <c r="CV2" s="689"/>
      <c r="CW2" s="689"/>
      <c r="CX2" s="689"/>
      <c r="CY2" s="689"/>
      <c r="CZ2" s="689"/>
      <c r="DA2" s="689"/>
      <c r="DB2" s="689"/>
      <c r="DC2" s="689"/>
      <c r="DD2" s="689"/>
      <c r="DE2" s="689"/>
      <c r="DF2" s="689"/>
      <c r="DG2" s="689"/>
      <c r="DH2" s="689"/>
      <c r="DI2" s="689"/>
      <c r="DJ2" s="689"/>
      <c r="DK2" s="9"/>
      <c r="DL2" s="12"/>
      <c r="DM2" s="699" t="s">
        <v>2</v>
      </c>
      <c r="DN2" s="700"/>
      <c r="DO2" s="700"/>
      <c r="DP2" s="700"/>
      <c r="DQ2" s="700"/>
      <c r="DR2" s="700"/>
      <c r="DS2" s="700"/>
      <c r="DT2" s="700"/>
      <c r="DU2" s="700"/>
      <c r="DV2" s="700"/>
      <c r="DW2" s="700"/>
      <c r="DX2" s="701"/>
      <c r="DY2" s="702"/>
      <c r="DZ2" s="13"/>
      <c r="EA2" s="5"/>
      <c r="EB2" s="703" t="s">
        <v>31</v>
      </c>
      <c r="EC2" s="704"/>
      <c r="ED2" s="704"/>
      <c r="EE2" s="704"/>
      <c r="EF2" s="9"/>
      <c r="EG2" s="9"/>
      <c r="EH2" s="705" t="s">
        <v>32</v>
      </c>
      <c r="EI2" s="706"/>
      <c r="EJ2" s="706"/>
      <c r="EK2" s="706"/>
      <c r="EL2" s="706"/>
      <c r="EM2" s="706"/>
      <c r="EN2" s="706"/>
      <c r="EO2" s="706"/>
      <c r="EP2" s="706"/>
      <c r="EQ2" s="706"/>
      <c r="ER2" s="706"/>
      <c r="ES2" s="706"/>
      <c r="ET2" s="706"/>
      <c r="EU2" s="706"/>
      <c r="EV2" s="706"/>
      <c r="EW2" s="707"/>
      <c r="EX2" s="278"/>
      <c r="EY2" s="279"/>
      <c r="EZ2" s="9"/>
      <c r="FA2" s="708" t="s">
        <v>33</v>
      </c>
      <c r="FB2" s="709"/>
      <c r="FC2" s="709"/>
      <c r="FD2" s="709"/>
      <c r="FE2" s="709"/>
      <c r="FF2" s="709"/>
      <c r="FG2" s="709"/>
      <c r="FH2" s="709"/>
      <c r="FI2" s="709"/>
      <c r="FJ2" s="742"/>
      <c r="FK2" s="9"/>
      <c r="FL2" s="708" t="s">
        <v>34</v>
      </c>
      <c r="FM2" s="709"/>
      <c r="FN2" s="709"/>
      <c r="FO2" s="709"/>
      <c r="FP2" s="709"/>
      <c r="FQ2" s="709"/>
    </row>
    <row r="3" spans="1:173" s="42" customFormat="1" ht="136.9" customHeight="1" thickTop="1" thickBot="1" x14ac:dyDescent="0.3">
      <c r="A3" s="14"/>
      <c r="B3" s="15" t="s">
        <v>35</v>
      </c>
      <c r="C3" s="16" t="s">
        <v>36</v>
      </c>
      <c r="D3" s="16" t="s">
        <v>37</v>
      </c>
      <c r="E3" s="19" t="s">
        <v>555</v>
      </c>
      <c r="F3" s="19" t="s">
        <v>556</v>
      </c>
      <c r="G3" s="16" t="s">
        <v>38</v>
      </c>
      <c r="H3" s="16" t="s">
        <v>39</v>
      </c>
      <c r="I3" s="16" t="s">
        <v>40</v>
      </c>
      <c r="J3" s="16" t="s">
        <v>41</v>
      </c>
      <c r="K3" s="16" t="s">
        <v>42</v>
      </c>
      <c r="L3" s="16" t="s">
        <v>43</v>
      </c>
      <c r="M3" s="16" t="s">
        <v>44</v>
      </c>
      <c r="N3" s="16" t="s">
        <v>45</v>
      </c>
      <c r="O3" s="16" t="s">
        <v>46</v>
      </c>
      <c r="P3" s="16" t="s">
        <v>47</v>
      </c>
      <c r="Q3" s="16" t="s">
        <v>48</v>
      </c>
      <c r="R3" s="16" t="s">
        <v>49</v>
      </c>
      <c r="S3" s="16" t="s">
        <v>50</v>
      </c>
      <c r="T3" s="16" t="s">
        <v>51</v>
      </c>
      <c r="U3" s="16" t="s">
        <v>52</v>
      </c>
      <c r="V3" s="17" t="s">
        <v>53</v>
      </c>
      <c r="W3" s="18"/>
      <c r="X3" s="15" t="s">
        <v>35</v>
      </c>
      <c r="Y3" s="19" t="s">
        <v>54</v>
      </c>
      <c r="Z3" s="16" t="s">
        <v>55</v>
      </c>
      <c r="AA3" s="16" t="s">
        <v>56</v>
      </c>
      <c r="AB3" s="16" t="s">
        <v>57</v>
      </c>
      <c r="AC3" s="16" t="s">
        <v>58</v>
      </c>
      <c r="AD3" s="16" t="s">
        <v>59</v>
      </c>
      <c r="AE3" s="16" t="s">
        <v>60</v>
      </c>
      <c r="AF3" s="16" t="s">
        <v>61</v>
      </c>
      <c r="AG3" s="17" t="s">
        <v>62</v>
      </c>
      <c r="AH3" s="18"/>
      <c r="AI3" s="20"/>
      <c r="AJ3" s="21" t="s">
        <v>35</v>
      </c>
      <c r="AK3" s="22" t="s">
        <v>63</v>
      </c>
      <c r="AL3" s="23" t="s">
        <v>64</v>
      </c>
      <c r="AM3" s="23" t="s">
        <v>65</v>
      </c>
      <c r="AN3" s="23" t="s">
        <v>66</v>
      </c>
      <c r="AO3" s="23" t="s">
        <v>67</v>
      </c>
      <c r="AP3" s="21" t="s">
        <v>35</v>
      </c>
      <c r="AQ3" s="23" t="s">
        <v>68</v>
      </c>
      <c r="AR3" s="23" t="s">
        <v>69</v>
      </c>
      <c r="AS3" s="23" t="s">
        <v>70</v>
      </c>
      <c r="AT3" s="23" t="s">
        <v>71</v>
      </c>
      <c r="AU3" s="23" t="s">
        <v>72</v>
      </c>
      <c r="AV3" s="23" t="s">
        <v>73</v>
      </c>
      <c r="AW3" s="24" t="s">
        <v>74</v>
      </c>
      <c r="AX3" s="18"/>
      <c r="AY3" s="18"/>
      <c r="AZ3" s="15" t="s">
        <v>35</v>
      </c>
      <c r="BA3" s="16" t="s">
        <v>75</v>
      </c>
      <c r="BB3" s="16" t="s">
        <v>253</v>
      </c>
      <c r="BC3" s="16" t="s">
        <v>76</v>
      </c>
      <c r="BD3" s="16" t="s">
        <v>77</v>
      </c>
      <c r="BE3" s="16" t="s">
        <v>78</v>
      </c>
      <c r="BF3" s="16" t="s">
        <v>79</v>
      </c>
      <c r="BG3" s="19" t="s">
        <v>35</v>
      </c>
      <c r="BH3" s="16" t="s">
        <v>80</v>
      </c>
      <c r="BI3" s="16" t="s">
        <v>81</v>
      </c>
      <c r="BJ3" s="16" t="s">
        <v>82</v>
      </c>
      <c r="BK3" s="16" t="s">
        <v>83</v>
      </c>
      <c r="BL3" s="16" t="s">
        <v>84</v>
      </c>
      <c r="BM3" s="16" t="s">
        <v>85</v>
      </c>
      <c r="BN3" s="16" t="s">
        <v>86</v>
      </c>
      <c r="BO3" s="16" t="s">
        <v>87</v>
      </c>
      <c r="BP3" s="17" t="s">
        <v>88</v>
      </c>
      <c r="BQ3" s="18"/>
      <c r="BR3" s="18"/>
      <c r="BS3" s="25" t="s">
        <v>89</v>
      </c>
      <c r="BT3" s="23" t="s">
        <v>90</v>
      </c>
      <c r="BU3" s="26" t="s">
        <v>254</v>
      </c>
      <c r="BV3" s="23" t="s">
        <v>91</v>
      </c>
      <c r="BW3" s="23" t="s">
        <v>92</v>
      </c>
      <c r="BX3" s="23" t="s">
        <v>93</v>
      </c>
      <c r="BY3" s="23" t="s">
        <v>94</v>
      </c>
      <c r="BZ3" s="26" t="s">
        <v>95</v>
      </c>
      <c r="CA3" s="23" t="s">
        <v>96</v>
      </c>
      <c r="CB3" s="23" t="s">
        <v>97</v>
      </c>
      <c r="CC3" s="23" t="s">
        <v>98</v>
      </c>
      <c r="CD3" s="23" t="s">
        <v>99</v>
      </c>
      <c r="CE3" s="23" t="s">
        <v>100</v>
      </c>
      <c r="CF3" s="24" t="s">
        <v>101</v>
      </c>
      <c r="CG3" s="18"/>
      <c r="CH3" s="18"/>
      <c r="CI3" s="25" t="s">
        <v>89</v>
      </c>
      <c r="CJ3" s="23" t="s">
        <v>102</v>
      </c>
      <c r="CK3" s="23" t="s">
        <v>103</v>
      </c>
      <c r="CL3" s="26" t="s">
        <v>89</v>
      </c>
      <c r="CM3" s="23" t="s">
        <v>104</v>
      </c>
      <c r="CN3" s="23" t="s">
        <v>105</v>
      </c>
      <c r="CO3" s="23" t="s">
        <v>106</v>
      </c>
      <c r="CP3" s="24" t="s">
        <v>107</v>
      </c>
      <c r="CQ3" s="18"/>
      <c r="CR3" s="18"/>
      <c r="CS3" s="25" t="s">
        <v>89</v>
      </c>
      <c r="CT3" s="21" t="s">
        <v>108</v>
      </c>
      <c r="CU3" s="21" t="s">
        <v>109</v>
      </c>
      <c r="CV3" s="21" t="s">
        <v>110</v>
      </c>
      <c r="CW3" s="21" t="s">
        <v>111</v>
      </c>
      <c r="CX3" s="21" t="s">
        <v>112</v>
      </c>
      <c r="CY3" s="21" t="s">
        <v>702</v>
      </c>
      <c r="CZ3" s="21" t="s">
        <v>703</v>
      </c>
      <c r="DA3" s="21" t="s">
        <v>113</v>
      </c>
      <c r="DB3" s="21" t="s">
        <v>704</v>
      </c>
      <c r="DC3" s="21" t="s">
        <v>705</v>
      </c>
      <c r="DD3" s="21" t="s">
        <v>706</v>
      </c>
      <c r="DE3" s="21" t="s">
        <v>707</v>
      </c>
      <c r="DF3" s="21" t="s">
        <v>708</v>
      </c>
      <c r="DG3" s="21" t="s">
        <v>709</v>
      </c>
      <c r="DH3" s="21" t="s">
        <v>117</v>
      </c>
      <c r="DI3" s="21" t="s">
        <v>116</v>
      </c>
      <c r="DJ3" s="27" t="s">
        <v>710</v>
      </c>
      <c r="DK3" s="28"/>
      <c r="DL3" s="29"/>
      <c r="DM3" s="30" t="s">
        <v>89</v>
      </c>
      <c r="DN3" s="31" t="s">
        <v>118</v>
      </c>
      <c r="DO3" s="31" t="s">
        <v>119</v>
      </c>
      <c r="DP3" s="31" t="s">
        <v>120</v>
      </c>
      <c r="DQ3" s="31" t="s">
        <v>121</v>
      </c>
      <c r="DR3" s="31" t="s">
        <v>122</v>
      </c>
      <c r="DS3" s="32" t="s">
        <v>95</v>
      </c>
      <c r="DT3" s="31" t="s">
        <v>123</v>
      </c>
      <c r="DU3" s="31" t="s">
        <v>124</v>
      </c>
      <c r="DV3" s="33" t="s">
        <v>125</v>
      </c>
      <c r="DW3" s="31" t="s">
        <v>126</v>
      </c>
      <c r="DX3" s="355" t="s">
        <v>276</v>
      </c>
      <c r="DY3" s="34" t="s">
        <v>127</v>
      </c>
      <c r="DZ3" s="35"/>
      <c r="EA3" s="18"/>
      <c r="EB3" s="36" t="s">
        <v>35</v>
      </c>
      <c r="EC3" s="37" t="s">
        <v>128</v>
      </c>
      <c r="ED3" s="37" t="s">
        <v>129</v>
      </c>
      <c r="EE3" s="37" t="s">
        <v>130</v>
      </c>
      <c r="EF3" s="18"/>
      <c r="EG3" s="18"/>
      <c r="EH3" s="38" t="s">
        <v>35</v>
      </c>
      <c r="EI3" s="23" t="s">
        <v>131</v>
      </c>
      <c r="EJ3" s="23" t="s">
        <v>132</v>
      </c>
      <c r="EK3" s="23" t="s">
        <v>133</v>
      </c>
      <c r="EL3" s="23" t="s">
        <v>134</v>
      </c>
      <c r="EM3" s="23" t="s">
        <v>135</v>
      </c>
      <c r="EN3" s="23" t="s">
        <v>136</v>
      </c>
      <c r="EO3" s="23" t="s">
        <v>137</v>
      </c>
      <c r="EP3" s="23" t="s">
        <v>138</v>
      </c>
      <c r="EQ3" s="23" t="s">
        <v>139</v>
      </c>
      <c r="ER3" s="23" t="s">
        <v>140</v>
      </c>
      <c r="ES3" s="23" t="s">
        <v>141</v>
      </c>
      <c r="ET3" s="23" t="s">
        <v>142</v>
      </c>
      <c r="EU3" s="23" t="s">
        <v>143</v>
      </c>
      <c r="EV3" s="23" t="s">
        <v>144</v>
      </c>
      <c r="EW3" s="24" t="s">
        <v>145</v>
      </c>
      <c r="EX3" s="280" t="s">
        <v>277</v>
      </c>
      <c r="EY3" s="280" t="s">
        <v>278</v>
      </c>
      <c r="EZ3" s="18"/>
      <c r="FA3" s="36" t="s">
        <v>35</v>
      </c>
      <c r="FB3" s="39" t="s">
        <v>146</v>
      </c>
      <c r="FC3" s="39" t="s">
        <v>147</v>
      </c>
      <c r="FD3" s="39" t="s">
        <v>148</v>
      </c>
      <c r="FE3" s="39" t="s">
        <v>149</v>
      </c>
      <c r="FF3" s="39" t="s">
        <v>150</v>
      </c>
      <c r="FG3" s="39" t="s">
        <v>151</v>
      </c>
      <c r="FH3" s="39" t="s">
        <v>152</v>
      </c>
      <c r="FI3" s="39" t="s">
        <v>153</v>
      </c>
      <c r="FJ3" s="40" t="s">
        <v>154</v>
      </c>
      <c r="FK3" s="18"/>
      <c r="FL3" s="15" t="s">
        <v>155</v>
      </c>
      <c r="FM3" s="16" t="s">
        <v>156</v>
      </c>
      <c r="FN3" s="41" t="s">
        <v>157</v>
      </c>
      <c r="FO3" s="41" t="s">
        <v>158</v>
      </c>
      <c r="FP3" s="41" t="s">
        <v>159</v>
      </c>
      <c r="FQ3" s="17" t="s">
        <v>160</v>
      </c>
    </row>
    <row r="4" spans="1:173" ht="21" customHeight="1" thickTop="1" x14ac:dyDescent="0.25">
      <c r="A4" s="43"/>
      <c r="B4" s="711" t="s">
        <v>89</v>
      </c>
      <c r="C4" s="712"/>
      <c r="D4" s="712"/>
      <c r="E4" s="712"/>
      <c r="F4" s="712"/>
      <c r="G4" s="712"/>
      <c r="H4" s="712"/>
      <c r="I4" s="712"/>
      <c r="J4" s="712"/>
      <c r="K4" s="712"/>
      <c r="L4" s="712"/>
      <c r="M4" s="712"/>
      <c r="N4" s="712"/>
      <c r="O4" s="712"/>
      <c r="P4" s="712"/>
      <c r="Q4" s="712"/>
      <c r="R4" s="712"/>
      <c r="S4" s="712"/>
      <c r="T4" s="712"/>
      <c r="U4" s="712"/>
      <c r="V4" s="713"/>
      <c r="W4" s="5"/>
      <c r="X4" s="714" t="s">
        <v>89</v>
      </c>
      <c r="Y4" s="715"/>
      <c r="Z4" s="715"/>
      <c r="AA4" s="715"/>
      <c r="AB4" s="715"/>
      <c r="AC4" s="715"/>
      <c r="AD4" s="715"/>
      <c r="AE4" s="715"/>
      <c r="AF4" s="715"/>
      <c r="AG4" s="715"/>
      <c r="AH4" s="3"/>
      <c r="AI4" s="44"/>
      <c r="AJ4" s="717" t="s">
        <v>89</v>
      </c>
      <c r="AK4" s="717"/>
      <c r="AL4" s="717"/>
      <c r="AM4" s="717"/>
      <c r="AN4" s="717"/>
      <c r="AO4" s="717"/>
      <c r="AP4" s="717"/>
      <c r="AQ4" s="717"/>
      <c r="AR4" s="717"/>
      <c r="AS4" s="717"/>
      <c r="AT4" s="717"/>
      <c r="AU4" s="717"/>
      <c r="AV4" s="717"/>
      <c r="AW4" s="718"/>
      <c r="AX4" s="3"/>
      <c r="AY4" s="5"/>
      <c r="AZ4" s="45"/>
      <c r="BA4" s="46"/>
      <c r="BB4" s="46"/>
      <c r="BC4" s="46"/>
      <c r="BD4" s="46"/>
      <c r="BE4" s="46"/>
      <c r="BF4" s="46"/>
      <c r="BG4" s="46"/>
      <c r="BH4" s="46"/>
      <c r="BI4" s="46"/>
      <c r="BJ4" s="46"/>
      <c r="BK4" s="46"/>
      <c r="BL4" s="46"/>
      <c r="BM4" s="46"/>
      <c r="BN4" s="46"/>
      <c r="BO4" s="46"/>
      <c r="BP4" s="47"/>
      <c r="BS4" s="44"/>
      <c r="BT4" s="48"/>
      <c r="BU4" s="269"/>
      <c r="BV4" s="48"/>
      <c r="BW4" s="48"/>
      <c r="BX4" s="48"/>
      <c r="BY4" s="48"/>
      <c r="BZ4" s="48"/>
      <c r="CA4" s="48"/>
      <c r="CB4" s="48"/>
      <c r="CC4" s="48"/>
      <c r="CD4" s="48"/>
      <c r="CE4" s="48"/>
      <c r="CF4" s="49"/>
      <c r="CG4" s="5"/>
      <c r="CH4" s="5"/>
      <c r="CI4" s="50"/>
      <c r="CJ4" s="48"/>
      <c r="CK4" s="48"/>
      <c r="CL4" s="48"/>
      <c r="CM4" s="48"/>
      <c r="CN4" s="48"/>
      <c r="CO4" s="48"/>
      <c r="CP4" s="51"/>
      <c r="CQ4" s="3"/>
      <c r="CR4" s="3"/>
      <c r="CS4" s="50"/>
      <c r="CT4" s="48"/>
      <c r="CU4" s="48"/>
      <c r="CV4" s="48"/>
      <c r="CW4" s="48"/>
      <c r="CX4" s="48"/>
      <c r="CY4" s="48"/>
      <c r="CZ4" s="48"/>
      <c r="DA4" s="48"/>
      <c r="DB4" s="48"/>
      <c r="DC4" s="48"/>
      <c r="DD4" s="48"/>
      <c r="DE4" s="48"/>
      <c r="DF4" s="48"/>
      <c r="DG4" s="48"/>
      <c r="DH4" s="48"/>
      <c r="DI4" s="48"/>
      <c r="DJ4" s="48"/>
      <c r="DK4" s="3"/>
      <c r="DL4" s="2"/>
      <c r="DM4" s="52"/>
      <c r="DN4" s="53"/>
      <c r="DO4" s="53"/>
      <c r="DP4" s="53"/>
      <c r="DQ4" s="53"/>
      <c r="DR4" s="53"/>
      <c r="DS4" s="53"/>
      <c r="DT4" s="53"/>
      <c r="DU4" s="53"/>
      <c r="DV4" s="53"/>
      <c r="DW4" s="53"/>
      <c r="DX4" s="356"/>
      <c r="DY4" s="54"/>
      <c r="DZ4" s="55"/>
      <c r="EA4" s="5"/>
      <c r="EB4" s="719" t="s">
        <v>89</v>
      </c>
      <c r="EC4" s="720"/>
      <c r="ED4" s="720"/>
      <c r="EE4" s="720"/>
      <c r="EF4" s="5"/>
      <c r="EG4" s="5"/>
      <c r="EH4" s="721" t="s">
        <v>89</v>
      </c>
      <c r="EI4" s="717"/>
      <c r="EJ4" s="717"/>
      <c r="EK4" s="717"/>
      <c r="EL4" s="717"/>
      <c r="EM4" s="717"/>
      <c r="EN4" s="717"/>
      <c r="EO4" s="717"/>
      <c r="EP4" s="717"/>
      <c r="EQ4" s="717"/>
      <c r="ER4" s="717"/>
      <c r="ES4" s="717"/>
      <c r="ET4" s="717"/>
      <c r="EU4" s="717"/>
      <c r="EV4" s="717"/>
      <c r="EW4" s="718"/>
      <c r="EX4" s="277"/>
      <c r="EY4" s="281"/>
      <c r="EZ4" s="5"/>
      <c r="FA4" s="723" t="s">
        <v>89</v>
      </c>
      <c r="FB4" s="724"/>
      <c r="FC4" s="724"/>
      <c r="FD4" s="724"/>
      <c r="FE4" s="724"/>
      <c r="FF4" s="724"/>
      <c r="FG4" s="724"/>
      <c r="FH4" s="724"/>
      <c r="FI4" s="724"/>
      <c r="FJ4" s="724"/>
      <c r="FK4" s="5"/>
      <c r="FL4" s="714" t="s">
        <v>89</v>
      </c>
      <c r="FM4" s="715"/>
      <c r="FN4" s="726"/>
      <c r="FO4" s="726"/>
      <c r="FP4" s="726"/>
      <c r="FQ4" s="716"/>
    </row>
    <row r="5" spans="1:173" s="76" customFormat="1" ht="22.35" customHeight="1" x14ac:dyDescent="0.25">
      <c r="A5" s="56"/>
      <c r="B5" s="57" t="s">
        <v>161</v>
      </c>
      <c r="C5" s="58">
        <f>COUNT(C13:C27)</f>
        <v>14</v>
      </c>
      <c r="D5" s="58">
        <f t="shared" ref="D5:V5" si="0">COUNT(D13:D27)</f>
        <v>15</v>
      </c>
      <c r="E5" s="371">
        <f t="shared" si="0"/>
        <v>15</v>
      </c>
      <c r="F5" s="371">
        <f t="shared" ref="F5" si="1">COUNT(F13:F27)</f>
        <v>14</v>
      </c>
      <c r="G5" s="58">
        <f t="shared" si="0"/>
        <v>15</v>
      </c>
      <c r="H5" s="58">
        <f t="shared" si="0"/>
        <v>15</v>
      </c>
      <c r="I5" s="58">
        <f t="shared" si="0"/>
        <v>13</v>
      </c>
      <c r="J5" s="58">
        <f t="shared" si="0"/>
        <v>15</v>
      </c>
      <c r="K5" s="58">
        <f t="shared" si="0"/>
        <v>13</v>
      </c>
      <c r="L5" s="58">
        <f t="shared" si="0"/>
        <v>15</v>
      </c>
      <c r="M5" s="58">
        <f t="shared" si="0"/>
        <v>13</v>
      </c>
      <c r="N5" s="58">
        <f t="shared" si="0"/>
        <v>15</v>
      </c>
      <c r="O5" s="58">
        <f t="shared" si="0"/>
        <v>13</v>
      </c>
      <c r="P5" s="58">
        <f t="shared" si="0"/>
        <v>15</v>
      </c>
      <c r="Q5" s="58">
        <f t="shared" si="0"/>
        <v>13</v>
      </c>
      <c r="R5" s="58">
        <f t="shared" si="0"/>
        <v>15</v>
      </c>
      <c r="S5" s="58">
        <f t="shared" si="0"/>
        <v>13</v>
      </c>
      <c r="T5" s="58">
        <f t="shared" si="0"/>
        <v>15</v>
      </c>
      <c r="U5" s="58">
        <f t="shared" si="0"/>
        <v>13</v>
      </c>
      <c r="V5" s="59">
        <f t="shared" si="0"/>
        <v>15</v>
      </c>
      <c r="W5" s="11"/>
      <c r="X5" s="57" t="s">
        <v>161</v>
      </c>
      <c r="Y5" s="60">
        <f>COUNT(Y13:Y27)</f>
        <v>15</v>
      </c>
      <c r="Z5" s="60">
        <f t="shared" ref="Z5:AB5" si="2">COUNT(Z13:Z27)</f>
        <v>6</v>
      </c>
      <c r="AA5" s="60">
        <f t="shared" si="2"/>
        <v>1</v>
      </c>
      <c r="AB5" s="60">
        <f t="shared" si="2"/>
        <v>1</v>
      </c>
      <c r="AC5" s="60">
        <f t="shared" ref="AC5:AG5" si="3">COUNT(AC13:AC27)</f>
        <v>6</v>
      </c>
      <c r="AD5" s="60">
        <f t="shared" si="3"/>
        <v>0</v>
      </c>
      <c r="AE5" s="60">
        <f t="shared" si="3"/>
        <v>1</v>
      </c>
      <c r="AF5" s="60">
        <f t="shared" si="3"/>
        <v>15</v>
      </c>
      <c r="AG5" s="60">
        <f t="shared" si="3"/>
        <v>15</v>
      </c>
      <c r="AH5" s="11"/>
      <c r="AI5" s="62"/>
      <c r="AJ5" s="63" t="s">
        <v>161</v>
      </c>
      <c r="AK5" s="64">
        <f>COUNT(AK13:AK27)</f>
        <v>11</v>
      </c>
      <c r="AL5" s="64">
        <f t="shared" ref="AL5:AW5" si="4">COUNT(AL13:AL27)</f>
        <v>15</v>
      </c>
      <c r="AM5" s="64">
        <f t="shared" si="4"/>
        <v>15</v>
      </c>
      <c r="AN5" s="64">
        <f t="shared" si="4"/>
        <v>15</v>
      </c>
      <c r="AO5" s="64">
        <f t="shared" si="4"/>
        <v>15</v>
      </c>
      <c r="AP5" s="65"/>
      <c r="AQ5" s="64">
        <f t="shared" si="4"/>
        <v>15</v>
      </c>
      <c r="AR5" s="64">
        <f t="shared" si="4"/>
        <v>15</v>
      </c>
      <c r="AS5" s="64">
        <f t="shared" si="4"/>
        <v>15</v>
      </c>
      <c r="AT5" s="64">
        <f t="shared" si="4"/>
        <v>15</v>
      </c>
      <c r="AU5" s="64">
        <f t="shared" si="4"/>
        <v>15</v>
      </c>
      <c r="AV5" s="64">
        <f t="shared" si="4"/>
        <v>13</v>
      </c>
      <c r="AW5" s="66">
        <f t="shared" si="4"/>
        <v>5</v>
      </c>
      <c r="AX5" s="11"/>
      <c r="AY5" s="11"/>
      <c r="AZ5" s="67" t="s">
        <v>161</v>
      </c>
      <c r="BA5" s="60">
        <f>COUNT(BA13:BA27)</f>
        <v>15</v>
      </c>
      <c r="BB5" s="60">
        <f t="shared" ref="BB5:BP5" si="5">COUNT(BB13:BB27)</f>
        <v>14</v>
      </c>
      <c r="BC5" s="60">
        <f>COUNT(BC13:BC27)</f>
        <v>8</v>
      </c>
      <c r="BD5" s="60">
        <f t="shared" si="5"/>
        <v>6</v>
      </c>
      <c r="BE5" s="60">
        <f t="shared" si="5"/>
        <v>6</v>
      </c>
      <c r="BF5" s="60">
        <f t="shared" si="5"/>
        <v>12</v>
      </c>
      <c r="BG5" s="60">
        <f t="shared" si="5"/>
        <v>0</v>
      </c>
      <c r="BH5" s="60">
        <f t="shared" si="5"/>
        <v>11</v>
      </c>
      <c r="BI5" s="60">
        <f t="shared" si="5"/>
        <v>9</v>
      </c>
      <c r="BJ5" s="60">
        <f t="shared" si="5"/>
        <v>10</v>
      </c>
      <c r="BK5" s="60">
        <f t="shared" si="5"/>
        <v>10</v>
      </c>
      <c r="BL5" s="60">
        <f t="shared" si="5"/>
        <v>10</v>
      </c>
      <c r="BM5" s="60">
        <f t="shared" si="5"/>
        <v>8</v>
      </c>
      <c r="BN5" s="60">
        <f t="shared" si="5"/>
        <v>10</v>
      </c>
      <c r="BO5" s="60">
        <f t="shared" si="5"/>
        <v>10</v>
      </c>
      <c r="BP5" s="61">
        <f t="shared" si="5"/>
        <v>8</v>
      </c>
      <c r="BQ5" s="11"/>
      <c r="BR5" s="11"/>
      <c r="BS5" s="68" t="s">
        <v>161</v>
      </c>
      <c r="BT5" s="64">
        <f>COUNT(BT13:BT27)</f>
        <v>14</v>
      </c>
      <c r="BU5" s="270">
        <f>COUNT(BU13:BU27)</f>
        <v>14</v>
      </c>
      <c r="BV5" s="64">
        <f t="shared" ref="BV5:CF5" si="6">COUNT(BV13:BV27)</f>
        <v>13</v>
      </c>
      <c r="BW5" s="64">
        <f t="shared" si="6"/>
        <v>4</v>
      </c>
      <c r="BX5" s="64">
        <f t="shared" si="6"/>
        <v>3</v>
      </c>
      <c r="BY5" s="64">
        <f t="shared" si="6"/>
        <v>3</v>
      </c>
      <c r="BZ5" s="64">
        <f t="shared" si="6"/>
        <v>0</v>
      </c>
      <c r="CA5" s="64">
        <f t="shared" si="6"/>
        <v>14</v>
      </c>
      <c r="CB5" s="64">
        <f t="shared" si="6"/>
        <v>6</v>
      </c>
      <c r="CC5" s="64">
        <f t="shared" si="6"/>
        <v>6</v>
      </c>
      <c r="CD5" s="64">
        <f t="shared" si="6"/>
        <v>6</v>
      </c>
      <c r="CE5" s="64">
        <f t="shared" si="6"/>
        <v>6</v>
      </c>
      <c r="CF5" s="66">
        <f t="shared" si="6"/>
        <v>6</v>
      </c>
      <c r="CG5" s="11"/>
      <c r="CH5" s="11"/>
      <c r="CI5" s="68" t="s">
        <v>161</v>
      </c>
      <c r="CJ5" s="64">
        <f>COUNT(CJ13:CJ27)</f>
        <v>14</v>
      </c>
      <c r="CK5" s="64">
        <f t="shared" ref="CK5:CP5" si="7">COUNT(CK13:CK27)</f>
        <v>13</v>
      </c>
      <c r="CL5" s="64">
        <f t="shared" si="7"/>
        <v>0</v>
      </c>
      <c r="CM5" s="64">
        <f t="shared" si="7"/>
        <v>11</v>
      </c>
      <c r="CN5" s="64">
        <f t="shared" si="7"/>
        <v>1</v>
      </c>
      <c r="CO5" s="64">
        <f t="shared" si="7"/>
        <v>10</v>
      </c>
      <c r="CP5" s="66">
        <f t="shared" si="7"/>
        <v>15</v>
      </c>
      <c r="CQ5" s="69"/>
      <c r="CR5" s="69"/>
      <c r="CS5" s="68" t="s">
        <v>161</v>
      </c>
      <c r="CT5" s="64">
        <f>COUNT(CT13:CT27)</f>
        <v>15</v>
      </c>
      <c r="CU5" s="64">
        <f t="shared" ref="CU5:DJ5" si="8">COUNT(CU13:CU27)</f>
        <v>15</v>
      </c>
      <c r="CV5" s="64">
        <f t="shared" si="8"/>
        <v>14</v>
      </c>
      <c r="CW5" s="64">
        <f t="shared" si="8"/>
        <v>15</v>
      </c>
      <c r="CX5" s="64">
        <f t="shared" si="8"/>
        <v>15</v>
      </c>
      <c r="CY5" s="64">
        <f t="shared" si="8"/>
        <v>15</v>
      </c>
      <c r="CZ5" s="64">
        <f t="shared" si="8"/>
        <v>15</v>
      </c>
      <c r="DA5" s="64">
        <f t="shared" si="8"/>
        <v>15</v>
      </c>
      <c r="DB5" s="64">
        <f t="shared" si="8"/>
        <v>15</v>
      </c>
      <c r="DC5" s="64">
        <f t="shared" si="8"/>
        <v>15</v>
      </c>
      <c r="DD5" s="64">
        <f t="shared" si="8"/>
        <v>15</v>
      </c>
      <c r="DE5" s="64">
        <f t="shared" si="8"/>
        <v>15</v>
      </c>
      <c r="DF5" s="64">
        <f t="shared" si="8"/>
        <v>15</v>
      </c>
      <c r="DG5" s="64">
        <f t="shared" si="8"/>
        <v>15</v>
      </c>
      <c r="DH5" s="64">
        <f t="shared" si="8"/>
        <v>15</v>
      </c>
      <c r="DI5" s="64">
        <f t="shared" si="8"/>
        <v>15</v>
      </c>
      <c r="DJ5" s="64">
        <f t="shared" si="8"/>
        <v>15</v>
      </c>
      <c r="DK5" s="69"/>
      <c r="DL5" s="70"/>
      <c r="DM5" s="71" t="s">
        <v>161</v>
      </c>
      <c r="DN5" s="72">
        <f>COUNT(DN13:DN27)</f>
        <v>15</v>
      </c>
      <c r="DO5" s="72">
        <f t="shared" ref="DO5:DY5" si="9">COUNT(DO13:DO27)</f>
        <v>15</v>
      </c>
      <c r="DP5" s="72">
        <f t="shared" si="9"/>
        <v>5</v>
      </c>
      <c r="DQ5" s="72">
        <f t="shared" si="9"/>
        <v>0</v>
      </c>
      <c r="DR5" s="72">
        <f>COUNT(DR13:DR27)</f>
        <v>15</v>
      </c>
      <c r="DS5" s="72"/>
      <c r="DT5" s="72">
        <f t="shared" si="9"/>
        <v>14</v>
      </c>
      <c r="DU5" s="72">
        <f t="shared" si="9"/>
        <v>15</v>
      </c>
      <c r="DV5" s="72">
        <f t="shared" si="9"/>
        <v>0</v>
      </c>
      <c r="DW5" s="72">
        <f t="shared" si="9"/>
        <v>0</v>
      </c>
      <c r="DX5" s="357">
        <f t="shared" ref="DX5" si="10">COUNT(DX13:DX27)</f>
        <v>0</v>
      </c>
      <c r="DY5" s="73">
        <f t="shared" si="9"/>
        <v>0</v>
      </c>
      <c r="DZ5" s="74"/>
      <c r="EA5" s="11"/>
      <c r="EB5" s="75" t="s">
        <v>161</v>
      </c>
      <c r="EC5" s="58">
        <f>COUNT(EC13:EC27)</f>
        <v>13</v>
      </c>
      <c r="ED5" s="58">
        <f>COUNT(ED13:ED27)</f>
        <v>13</v>
      </c>
      <c r="EE5" s="58">
        <f>COUNT(EE13:EE27)</f>
        <v>13</v>
      </c>
      <c r="EF5" s="11"/>
      <c r="EG5" s="11"/>
      <c r="EH5" s="68" t="s">
        <v>161</v>
      </c>
      <c r="EI5" s="64">
        <f>COUNT(EI13:EI27)</f>
        <v>15</v>
      </c>
      <c r="EJ5" s="64">
        <f t="shared" ref="EJ5:EW5" si="11">COUNT(EJ13:EJ27)</f>
        <v>15</v>
      </c>
      <c r="EK5" s="64">
        <f t="shared" si="11"/>
        <v>15</v>
      </c>
      <c r="EL5" s="64">
        <f t="shared" si="11"/>
        <v>14</v>
      </c>
      <c r="EM5" s="64">
        <f t="shared" si="11"/>
        <v>15</v>
      </c>
      <c r="EN5" s="64">
        <f t="shared" si="11"/>
        <v>0</v>
      </c>
      <c r="EO5" s="64">
        <f t="shared" si="11"/>
        <v>0</v>
      </c>
      <c r="EP5" s="64">
        <f t="shared" si="11"/>
        <v>0</v>
      </c>
      <c r="EQ5" s="64">
        <f t="shared" si="11"/>
        <v>0</v>
      </c>
      <c r="ER5" s="64">
        <f t="shared" si="11"/>
        <v>0</v>
      </c>
      <c r="ES5" s="64">
        <f t="shared" si="11"/>
        <v>0</v>
      </c>
      <c r="ET5" s="64">
        <f t="shared" si="11"/>
        <v>0</v>
      </c>
      <c r="EU5" s="64">
        <f t="shared" si="11"/>
        <v>0</v>
      </c>
      <c r="EV5" s="64">
        <f t="shared" si="11"/>
        <v>0</v>
      </c>
      <c r="EW5" s="66">
        <f t="shared" si="11"/>
        <v>0</v>
      </c>
      <c r="EX5" s="282">
        <f t="shared" ref="EX5" si="12">COUNT(EX13:EX27)</f>
        <v>14</v>
      </c>
      <c r="EY5" s="282">
        <f t="shared" ref="EY5" si="13">COUNT(EY13:EY27)</f>
        <v>0</v>
      </c>
      <c r="EZ5" s="11"/>
      <c r="FA5" s="67" t="s">
        <v>161</v>
      </c>
      <c r="FB5" s="58">
        <f t="shared" ref="FB5:FJ5" si="14">COUNT(FA13:FA27)</f>
        <v>0</v>
      </c>
      <c r="FC5" s="58">
        <f t="shared" si="14"/>
        <v>15</v>
      </c>
      <c r="FD5" s="58">
        <f t="shared" si="14"/>
        <v>15</v>
      </c>
      <c r="FE5" s="58">
        <f t="shared" si="14"/>
        <v>15</v>
      </c>
      <c r="FF5" s="58">
        <f t="shared" si="14"/>
        <v>15</v>
      </c>
      <c r="FG5" s="58">
        <f t="shared" si="14"/>
        <v>15</v>
      </c>
      <c r="FH5" s="58">
        <f t="shared" si="14"/>
        <v>15</v>
      </c>
      <c r="FI5" s="58">
        <f t="shared" si="14"/>
        <v>15</v>
      </c>
      <c r="FJ5" s="58">
        <f t="shared" si="14"/>
        <v>15</v>
      </c>
      <c r="FK5" s="11"/>
      <c r="FL5" s="67" t="s">
        <v>161</v>
      </c>
      <c r="FM5" s="60">
        <f>COUNT(FM13:FM27)</f>
        <v>15</v>
      </c>
      <c r="FN5" s="60">
        <f>COUNT(FM13:FM27)</f>
        <v>15</v>
      </c>
      <c r="FO5" s="60">
        <f>COUNT(FN13:FN27)</f>
        <v>14</v>
      </c>
      <c r="FP5" s="60">
        <f>COUNT(FO13:FO27)</f>
        <v>14</v>
      </c>
      <c r="FQ5" s="61">
        <f>COUNT(FP13:FP27)</f>
        <v>15</v>
      </c>
    </row>
    <row r="6" spans="1:173" s="76" customFormat="1" ht="22.35" customHeight="1" x14ac:dyDescent="0.25">
      <c r="A6" s="56"/>
      <c r="B6" s="77" t="s">
        <v>162</v>
      </c>
      <c r="C6" s="60">
        <f>+COUNTBLANK(C13:C27)</f>
        <v>1</v>
      </c>
      <c r="D6" s="60">
        <f t="shared" ref="D6:V6" si="15">+COUNTBLANK(D13:D27)</f>
        <v>0</v>
      </c>
      <c r="E6" s="372">
        <f t="shared" si="15"/>
        <v>0</v>
      </c>
      <c r="F6" s="372">
        <f t="shared" ref="F6" si="16">+COUNTBLANK(F13:F27)</f>
        <v>1</v>
      </c>
      <c r="G6" s="60">
        <f t="shared" si="15"/>
        <v>0</v>
      </c>
      <c r="H6" s="60">
        <f t="shared" si="15"/>
        <v>0</v>
      </c>
      <c r="I6" s="60">
        <f t="shared" si="15"/>
        <v>2</v>
      </c>
      <c r="J6" s="60">
        <f t="shared" si="15"/>
        <v>0</v>
      </c>
      <c r="K6" s="60">
        <f t="shared" si="15"/>
        <v>2</v>
      </c>
      <c r="L6" s="60">
        <f t="shared" si="15"/>
        <v>0</v>
      </c>
      <c r="M6" s="60">
        <f t="shared" si="15"/>
        <v>2</v>
      </c>
      <c r="N6" s="60">
        <f t="shared" si="15"/>
        <v>0</v>
      </c>
      <c r="O6" s="60">
        <f t="shared" si="15"/>
        <v>2</v>
      </c>
      <c r="P6" s="60">
        <f t="shared" si="15"/>
        <v>0</v>
      </c>
      <c r="Q6" s="60">
        <f t="shared" si="15"/>
        <v>2</v>
      </c>
      <c r="R6" s="60">
        <f t="shared" si="15"/>
        <v>0</v>
      </c>
      <c r="S6" s="60">
        <f t="shared" si="15"/>
        <v>2</v>
      </c>
      <c r="T6" s="60">
        <f t="shared" si="15"/>
        <v>0</v>
      </c>
      <c r="U6" s="60">
        <f t="shared" si="15"/>
        <v>2</v>
      </c>
      <c r="V6" s="61">
        <f t="shared" si="15"/>
        <v>0</v>
      </c>
      <c r="W6" s="11"/>
      <c r="X6" s="77" t="s">
        <v>162</v>
      </c>
      <c r="Y6" s="60">
        <f>+COUNTBLANK(Y13:Y27)</f>
        <v>0</v>
      </c>
      <c r="Z6" s="60">
        <f t="shared" ref="Z6:AB6" si="17">+COUNTBLANK(Z13:Z27)</f>
        <v>9</v>
      </c>
      <c r="AA6" s="60">
        <f t="shared" si="17"/>
        <v>9</v>
      </c>
      <c r="AB6" s="60">
        <f t="shared" si="17"/>
        <v>9</v>
      </c>
      <c r="AC6" s="60">
        <f t="shared" ref="AC6:AG6" si="18">+COUNTBLANK(AC13:AC27)</f>
        <v>9</v>
      </c>
      <c r="AD6" s="60">
        <f t="shared" si="18"/>
        <v>10</v>
      </c>
      <c r="AE6" s="60">
        <f t="shared" si="18"/>
        <v>9</v>
      </c>
      <c r="AF6" s="60">
        <f t="shared" si="18"/>
        <v>0</v>
      </c>
      <c r="AG6" s="60">
        <f t="shared" si="18"/>
        <v>0</v>
      </c>
      <c r="AH6" s="11"/>
      <c r="AI6" s="62"/>
      <c r="AJ6" s="78" t="s">
        <v>162</v>
      </c>
      <c r="AK6" s="64">
        <f>+COUNTBLANK(AK13:AK27)</f>
        <v>4</v>
      </c>
      <c r="AL6" s="64">
        <f t="shared" ref="AL6:AW6" si="19">+COUNTBLANK(AL13:AL27)</f>
        <v>0</v>
      </c>
      <c r="AM6" s="64">
        <f t="shared" si="19"/>
        <v>0</v>
      </c>
      <c r="AN6" s="64">
        <f t="shared" si="19"/>
        <v>0</v>
      </c>
      <c r="AO6" s="64">
        <f t="shared" si="19"/>
        <v>0</v>
      </c>
      <c r="AP6" s="65"/>
      <c r="AQ6" s="64">
        <f t="shared" si="19"/>
        <v>0</v>
      </c>
      <c r="AR6" s="64">
        <f t="shared" si="19"/>
        <v>0</v>
      </c>
      <c r="AS6" s="64">
        <f t="shared" si="19"/>
        <v>0</v>
      </c>
      <c r="AT6" s="64">
        <f t="shared" si="19"/>
        <v>0</v>
      </c>
      <c r="AU6" s="64">
        <f t="shared" si="19"/>
        <v>0</v>
      </c>
      <c r="AV6" s="64">
        <f t="shared" si="19"/>
        <v>2</v>
      </c>
      <c r="AW6" s="66">
        <f t="shared" si="19"/>
        <v>10</v>
      </c>
      <c r="AX6" s="11"/>
      <c r="AY6" s="11"/>
      <c r="AZ6" s="79" t="s">
        <v>162</v>
      </c>
      <c r="BA6" s="60">
        <f>+COUNTBLANK(BA13:BA27)</f>
        <v>0</v>
      </c>
      <c r="BB6" s="60">
        <f t="shared" ref="BB6:BP6" si="20">+COUNTBLANK(BB13:BB27)</f>
        <v>1</v>
      </c>
      <c r="BC6" s="60">
        <f>+COUNTBLANK(BC13:BC27)</f>
        <v>7</v>
      </c>
      <c r="BD6" s="60">
        <f t="shared" si="20"/>
        <v>8</v>
      </c>
      <c r="BE6" s="60">
        <f t="shared" si="20"/>
        <v>8</v>
      </c>
      <c r="BF6" s="60">
        <f t="shared" si="20"/>
        <v>2</v>
      </c>
      <c r="BG6" s="60">
        <f t="shared" si="20"/>
        <v>0</v>
      </c>
      <c r="BH6" s="60">
        <f t="shared" si="20"/>
        <v>4</v>
      </c>
      <c r="BI6" s="60">
        <f t="shared" si="20"/>
        <v>4</v>
      </c>
      <c r="BJ6" s="60">
        <f t="shared" si="20"/>
        <v>4</v>
      </c>
      <c r="BK6" s="60">
        <f t="shared" si="20"/>
        <v>4</v>
      </c>
      <c r="BL6" s="60">
        <f t="shared" si="20"/>
        <v>4</v>
      </c>
      <c r="BM6" s="60">
        <f t="shared" si="20"/>
        <v>6</v>
      </c>
      <c r="BN6" s="60">
        <f t="shared" si="20"/>
        <v>4</v>
      </c>
      <c r="BO6" s="60">
        <f t="shared" si="20"/>
        <v>4</v>
      </c>
      <c r="BP6" s="61">
        <f t="shared" si="20"/>
        <v>6</v>
      </c>
      <c r="BQ6" s="74"/>
      <c r="BR6" s="11"/>
      <c r="BS6" s="80" t="s">
        <v>162</v>
      </c>
      <c r="BT6" s="64">
        <f>+COUNTBLANK(BT13:BT27)</f>
        <v>1</v>
      </c>
      <c r="BU6" s="270">
        <f>+COUNTBLANK(BU13:BU27)</f>
        <v>1</v>
      </c>
      <c r="BV6" s="64">
        <f t="shared" ref="BV6:CF6" si="21">+COUNTBLANK(BV13:BV27)</f>
        <v>2</v>
      </c>
      <c r="BW6" s="64">
        <f t="shared" si="21"/>
        <v>4</v>
      </c>
      <c r="BX6" s="64">
        <f t="shared" si="21"/>
        <v>1</v>
      </c>
      <c r="BY6" s="64">
        <f t="shared" si="21"/>
        <v>1</v>
      </c>
      <c r="BZ6" s="64">
        <f t="shared" si="21"/>
        <v>0</v>
      </c>
      <c r="CA6" s="64">
        <f t="shared" si="21"/>
        <v>0</v>
      </c>
      <c r="CB6" s="64">
        <f t="shared" si="21"/>
        <v>0</v>
      </c>
      <c r="CC6" s="64">
        <f t="shared" si="21"/>
        <v>0</v>
      </c>
      <c r="CD6" s="64">
        <f t="shared" si="21"/>
        <v>0</v>
      </c>
      <c r="CE6" s="64">
        <f t="shared" si="21"/>
        <v>0</v>
      </c>
      <c r="CF6" s="66">
        <f t="shared" si="21"/>
        <v>0</v>
      </c>
      <c r="CG6" s="74"/>
      <c r="CH6" s="11"/>
      <c r="CI6" s="80" t="s">
        <v>162</v>
      </c>
      <c r="CJ6" s="64">
        <f>+COUNTBLANK(CJ13:CJ27)</f>
        <v>1</v>
      </c>
      <c r="CK6" s="64">
        <f t="shared" ref="CK6:CP6" si="22">+COUNTBLANK(CK13:CK27)</f>
        <v>2</v>
      </c>
      <c r="CL6" s="64">
        <f t="shared" si="22"/>
        <v>0</v>
      </c>
      <c r="CM6" s="64">
        <f t="shared" si="22"/>
        <v>4</v>
      </c>
      <c r="CN6" s="64">
        <f t="shared" si="22"/>
        <v>13</v>
      </c>
      <c r="CO6" s="64">
        <f t="shared" si="22"/>
        <v>5</v>
      </c>
      <c r="CP6" s="66">
        <f t="shared" si="22"/>
        <v>0</v>
      </c>
      <c r="CQ6" s="81"/>
      <c r="CR6" s="82"/>
      <c r="CS6" s="80" t="s">
        <v>162</v>
      </c>
      <c r="CT6" s="64">
        <f>+COUNTBLANK(CT13:CT27)</f>
        <v>0</v>
      </c>
      <c r="CU6" s="64">
        <f t="shared" ref="CU6:DJ6" si="23">+COUNTBLANK(CU13:CU27)</f>
        <v>0</v>
      </c>
      <c r="CV6" s="64">
        <f t="shared" si="23"/>
        <v>1</v>
      </c>
      <c r="CW6" s="64">
        <f t="shared" si="23"/>
        <v>0</v>
      </c>
      <c r="CX6" s="64">
        <f t="shared" si="23"/>
        <v>0</v>
      </c>
      <c r="CY6" s="64">
        <f t="shared" si="23"/>
        <v>0</v>
      </c>
      <c r="CZ6" s="64">
        <f t="shared" si="23"/>
        <v>0</v>
      </c>
      <c r="DA6" s="64">
        <f t="shared" si="23"/>
        <v>0</v>
      </c>
      <c r="DB6" s="64">
        <f t="shared" si="23"/>
        <v>0</v>
      </c>
      <c r="DC6" s="64">
        <f t="shared" si="23"/>
        <v>0</v>
      </c>
      <c r="DD6" s="64">
        <f t="shared" si="23"/>
        <v>0</v>
      </c>
      <c r="DE6" s="64">
        <f t="shared" si="23"/>
        <v>0</v>
      </c>
      <c r="DF6" s="64">
        <f t="shared" si="23"/>
        <v>0</v>
      </c>
      <c r="DG6" s="64">
        <f t="shared" si="23"/>
        <v>0</v>
      </c>
      <c r="DH6" s="64">
        <f t="shared" si="23"/>
        <v>0</v>
      </c>
      <c r="DI6" s="64">
        <f t="shared" si="23"/>
        <v>0</v>
      </c>
      <c r="DJ6" s="64">
        <f t="shared" si="23"/>
        <v>0</v>
      </c>
      <c r="DK6" s="83"/>
      <c r="DL6" s="84"/>
      <c r="DM6" s="85" t="s">
        <v>162</v>
      </c>
      <c r="DN6" s="72">
        <f>+COUNTBLANK(DN13:DN27)</f>
        <v>0</v>
      </c>
      <c r="DO6" s="72">
        <f t="shared" ref="DO6:DY6" si="24">+COUNTBLANK(DO13:DO27)</f>
        <v>0</v>
      </c>
      <c r="DP6" s="72">
        <f t="shared" si="24"/>
        <v>10</v>
      </c>
      <c r="DQ6" s="72">
        <f t="shared" si="24"/>
        <v>15</v>
      </c>
      <c r="DR6" s="72">
        <f>+COUNTBLANK(DR13:DR27)</f>
        <v>0</v>
      </c>
      <c r="DS6" s="72"/>
      <c r="DT6" s="72">
        <f t="shared" si="24"/>
        <v>1</v>
      </c>
      <c r="DU6" s="72">
        <f t="shared" si="24"/>
        <v>0</v>
      </c>
      <c r="DV6" s="72">
        <f t="shared" si="24"/>
        <v>15</v>
      </c>
      <c r="DW6" s="72">
        <f t="shared" si="24"/>
        <v>15</v>
      </c>
      <c r="DX6" s="357">
        <f t="shared" ref="DX6" si="25">+COUNTBLANK(DX13:DX27)</f>
        <v>15</v>
      </c>
      <c r="DY6" s="73">
        <f t="shared" si="24"/>
        <v>15</v>
      </c>
      <c r="DZ6" s="74"/>
      <c r="EA6" s="86"/>
      <c r="EB6" s="60" t="s">
        <v>162</v>
      </c>
      <c r="EC6" s="60">
        <f>+COUNTBLANK(EC13:EC27)</f>
        <v>2</v>
      </c>
      <c r="ED6" s="60">
        <f>+COUNTBLANK(ED13:ED27)</f>
        <v>2</v>
      </c>
      <c r="EE6" s="60">
        <f>+COUNTBLANK(EE13:EE27)</f>
        <v>2</v>
      </c>
      <c r="EF6" s="87"/>
      <c r="EG6" s="88"/>
      <c r="EH6" s="80" t="s">
        <v>162</v>
      </c>
      <c r="EI6" s="64">
        <f>+COUNTBLANK(EI13:EI27)</f>
        <v>0</v>
      </c>
      <c r="EJ6" s="64">
        <f t="shared" ref="EJ6:EW6" si="26">+COUNTBLANK(EJ13:EJ27)</f>
        <v>0</v>
      </c>
      <c r="EK6" s="64">
        <f t="shared" si="26"/>
        <v>0</v>
      </c>
      <c r="EL6" s="64">
        <f t="shared" si="26"/>
        <v>1</v>
      </c>
      <c r="EM6" s="64">
        <f t="shared" si="26"/>
        <v>0</v>
      </c>
      <c r="EN6" s="64">
        <f t="shared" si="26"/>
        <v>15</v>
      </c>
      <c r="EO6" s="64">
        <f t="shared" si="26"/>
        <v>15</v>
      </c>
      <c r="EP6" s="64">
        <f t="shared" si="26"/>
        <v>15</v>
      </c>
      <c r="EQ6" s="64">
        <f t="shared" si="26"/>
        <v>15</v>
      </c>
      <c r="ER6" s="64">
        <f t="shared" si="26"/>
        <v>15</v>
      </c>
      <c r="ES6" s="64">
        <f t="shared" si="26"/>
        <v>15</v>
      </c>
      <c r="ET6" s="64">
        <f t="shared" si="26"/>
        <v>15</v>
      </c>
      <c r="EU6" s="64">
        <f t="shared" si="26"/>
        <v>15</v>
      </c>
      <c r="EV6" s="64">
        <f t="shared" si="26"/>
        <v>15</v>
      </c>
      <c r="EW6" s="66">
        <f t="shared" si="26"/>
        <v>15</v>
      </c>
      <c r="EX6" s="282">
        <f t="shared" ref="EX6" si="27">+COUNTBLANK(EX13:EX27)</f>
        <v>1</v>
      </c>
      <c r="EY6" s="282">
        <f t="shared" ref="EY6" si="28">+COUNTBLANK(EY13:EY27)</f>
        <v>5</v>
      </c>
      <c r="EZ6" s="11"/>
      <c r="FA6" s="79" t="s">
        <v>162</v>
      </c>
      <c r="FB6" s="60">
        <f t="shared" ref="FB6:FJ6" si="29">+COUNTBLANK(FA13:FA27)</f>
        <v>0</v>
      </c>
      <c r="FC6" s="60">
        <f t="shared" si="29"/>
        <v>0</v>
      </c>
      <c r="FD6" s="60">
        <f t="shared" si="29"/>
        <v>0</v>
      </c>
      <c r="FE6" s="60">
        <f t="shared" si="29"/>
        <v>0</v>
      </c>
      <c r="FF6" s="60">
        <f t="shared" si="29"/>
        <v>0</v>
      </c>
      <c r="FG6" s="60">
        <f t="shared" si="29"/>
        <v>0</v>
      </c>
      <c r="FH6" s="60">
        <f t="shared" si="29"/>
        <v>0</v>
      </c>
      <c r="FI6" s="60">
        <f t="shared" si="29"/>
        <v>0</v>
      </c>
      <c r="FJ6" s="60">
        <f t="shared" si="29"/>
        <v>0</v>
      </c>
      <c r="FK6" s="11"/>
      <c r="FL6" s="79" t="s">
        <v>162</v>
      </c>
      <c r="FM6" s="60">
        <f>+COUNTBLANK(FL13:FL27)</f>
        <v>0</v>
      </c>
      <c r="FN6" s="60">
        <f>+COUNTBLANK(FM13:FM27)</f>
        <v>0</v>
      </c>
      <c r="FO6" s="60">
        <f>+COUNTBLANK(FN13:FN27)</f>
        <v>1</v>
      </c>
      <c r="FP6" s="60">
        <f>+COUNTBLANK(FO13:FO27)</f>
        <v>1</v>
      </c>
      <c r="FQ6" s="61">
        <f>+COUNTBLANK(FP13:FP27)</f>
        <v>0</v>
      </c>
    </row>
    <row r="7" spans="1:173" s="106" customFormat="1" ht="22.35" customHeight="1" x14ac:dyDescent="0.25">
      <c r="A7" s="89"/>
      <c r="B7" s="57" t="s">
        <v>163</v>
      </c>
      <c r="C7" s="90">
        <f>1-(C6/15)</f>
        <v>0.93333333333333335</v>
      </c>
      <c r="D7" s="90">
        <f t="shared" ref="D7:V7" si="30">1-(D6/15)</f>
        <v>1</v>
      </c>
      <c r="E7" s="373">
        <f t="shared" si="30"/>
        <v>1</v>
      </c>
      <c r="F7" s="373">
        <f t="shared" ref="F7" si="31">1-(F6/15)</f>
        <v>0.93333333333333335</v>
      </c>
      <c r="G7" s="90">
        <f t="shared" si="30"/>
        <v>1</v>
      </c>
      <c r="H7" s="90">
        <f t="shared" si="30"/>
        <v>1</v>
      </c>
      <c r="I7" s="90">
        <f t="shared" si="30"/>
        <v>0.8666666666666667</v>
      </c>
      <c r="J7" s="90">
        <f t="shared" si="30"/>
        <v>1</v>
      </c>
      <c r="K7" s="90">
        <f t="shared" si="30"/>
        <v>0.8666666666666667</v>
      </c>
      <c r="L7" s="90">
        <f t="shared" si="30"/>
        <v>1</v>
      </c>
      <c r="M7" s="90">
        <f t="shared" si="30"/>
        <v>0.8666666666666667</v>
      </c>
      <c r="N7" s="90">
        <f t="shared" si="30"/>
        <v>1</v>
      </c>
      <c r="O7" s="90">
        <f t="shared" si="30"/>
        <v>0.8666666666666667</v>
      </c>
      <c r="P7" s="90">
        <f t="shared" si="30"/>
        <v>1</v>
      </c>
      <c r="Q7" s="90">
        <f t="shared" si="30"/>
        <v>0.8666666666666667</v>
      </c>
      <c r="R7" s="90">
        <f t="shared" si="30"/>
        <v>1</v>
      </c>
      <c r="S7" s="90">
        <f t="shared" si="30"/>
        <v>0.8666666666666667</v>
      </c>
      <c r="T7" s="90">
        <f t="shared" si="30"/>
        <v>1</v>
      </c>
      <c r="U7" s="90">
        <f t="shared" si="30"/>
        <v>0.8666666666666667</v>
      </c>
      <c r="V7" s="91">
        <f t="shared" si="30"/>
        <v>1</v>
      </c>
      <c r="W7" s="92"/>
      <c r="X7" s="57" t="s">
        <v>163</v>
      </c>
      <c r="Y7" s="93">
        <f>1-(Y6/15)</f>
        <v>1</v>
      </c>
      <c r="Z7" s="93">
        <f t="shared" ref="Z7:AB7" si="32">1-(Z6/15)</f>
        <v>0.4</v>
      </c>
      <c r="AA7" s="93">
        <f t="shared" si="32"/>
        <v>0.4</v>
      </c>
      <c r="AB7" s="93">
        <f t="shared" si="32"/>
        <v>0.4</v>
      </c>
      <c r="AC7" s="93">
        <f t="shared" ref="AC7:AG7" si="33">1-(AC6/15)</f>
        <v>0.4</v>
      </c>
      <c r="AD7" s="93">
        <f t="shared" si="33"/>
        <v>0.33333333333333337</v>
      </c>
      <c r="AE7" s="93">
        <f t="shared" si="33"/>
        <v>0.4</v>
      </c>
      <c r="AF7" s="93">
        <f t="shared" si="33"/>
        <v>1</v>
      </c>
      <c r="AG7" s="93">
        <f t="shared" si="33"/>
        <v>1</v>
      </c>
      <c r="AH7" s="95"/>
      <c r="AI7" s="96"/>
      <c r="AJ7" s="63" t="s">
        <v>163</v>
      </c>
      <c r="AK7" s="97">
        <f>1-(AK6/15)</f>
        <v>0.73333333333333339</v>
      </c>
      <c r="AL7" s="97">
        <f t="shared" ref="AL7:AW7" si="34">1-(AL6/15)</f>
        <v>1</v>
      </c>
      <c r="AM7" s="97">
        <f t="shared" si="34"/>
        <v>1</v>
      </c>
      <c r="AN7" s="97">
        <f t="shared" si="34"/>
        <v>1</v>
      </c>
      <c r="AO7" s="97">
        <f t="shared" si="34"/>
        <v>1</v>
      </c>
      <c r="AP7" s="65"/>
      <c r="AQ7" s="97">
        <f t="shared" si="34"/>
        <v>1</v>
      </c>
      <c r="AR7" s="97">
        <f t="shared" si="34"/>
        <v>1</v>
      </c>
      <c r="AS7" s="97">
        <f t="shared" si="34"/>
        <v>1</v>
      </c>
      <c r="AT7" s="97">
        <f t="shared" si="34"/>
        <v>1</v>
      </c>
      <c r="AU7" s="97">
        <f t="shared" si="34"/>
        <v>1</v>
      </c>
      <c r="AV7" s="97">
        <f t="shared" si="34"/>
        <v>0.8666666666666667</v>
      </c>
      <c r="AW7" s="98">
        <f t="shared" si="34"/>
        <v>0.33333333333333337</v>
      </c>
      <c r="AX7" s="95"/>
      <c r="AY7" s="92"/>
      <c r="AZ7" s="57" t="s">
        <v>163</v>
      </c>
      <c r="BA7" s="93">
        <f t="shared" ref="BA7:BP7" si="35">1-(BA6/15)</f>
        <v>1</v>
      </c>
      <c r="BB7" s="93">
        <f t="shared" si="35"/>
        <v>0.93333333333333335</v>
      </c>
      <c r="BC7" s="93">
        <f t="shared" si="35"/>
        <v>0.53333333333333333</v>
      </c>
      <c r="BD7" s="93">
        <f t="shared" si="35"/>
        <v>0.46666666666666667</v>
      </c>
      <c r="BE7" s="93">
        <f t="shared" si="35"/>
        <v>0.46666666666666667</v>
      </c>
      <c r="BF7" s="93">
        <f t="shared" si="35"/>
        <v>0.8666666666666667</v>
      </c>
      <c r="BG7" s="93">
        <f t="shared" si="35"/>
        <v>1</v>
      </c>
      <c r="BH7" s="93">
        <f t="shared" si="35"/>
        <v>0.73333333333333339</v>
      </c>
      <c r="BI7" s="93">
        <f t="shared" si="35"/>
        <v>0.73333333333333339</v>
      </c>
      <c r="BJ7" s="93">
        <f t="shared" si="35"/>
        <v>0.73333333333333339</v>
      </c>
      <c r="BK7" s="93">
        <f t="shared" si="35"/>
        <v>0.73333333333333339</v>
      </c>
      <c r="BL7" s="93">
        <f t="shared" si="35"/>
        <v>0.73333333333333339</v>
      </c>
      <c r="BM7" s="93">
        <f t="shared" si="35"/>
        <v>0.6</v>
      </c>
      <c r="BN7" s="93">
        <f t="shared" si="35"/>
        <v>0.73333333333333339</v>
      </c>
      <c r="BO7" s="93">
        <f t="shared" si="35"/>
        <v>0.73333333333333339</v>
      </c>
      <c r="BP7" s="94">
        <f t="shared" si="35"/>
        <v>0.6</v>
      </c>
      <c r="BQ7" s="92"/>
      <c r="BR7" s="92"/>
      <c r="BS7" s="99" t="s">
        <v>163</v>
      </c>
      <c r="BT7" s="97">
        <f t="shared" ref="BT7:CF7" si="36">1-(BT6/15)</f>
        <v>0.93333333333333335</v>
      </c>
      <c r="BU7" s="271">
        <f t="shared" ref="BU7" si="37">1-(BU6/15)</f>
        <v>0.93333333333333335</v>
      </c>
      <c r="BV7" s="97">
        <f t="shared" si="36"/>
        <v>0.8666666666666667</v>
      </c>
      <c r="BW7" s="97">
        <f t="shared" si="36"/>
        <v>0.73333333333333339</v>
      </c>
      <c r="BX7" s="97">
        <f t="shared" si="36"/>
        <v>0.93333333333333335</v>
      </c>
      <c r="BY7" s="97">
        <f t="shared" si="36"/>
        <v>0.93333333333333335</v>
      </c>
      <c r="BZ7" s="97">
        <f t="shared" si="36"/>
        <v>1</v>
      </c>
      <c r="CA7" s="97">
        <f t="shared" si="36"/>
        <v>1</v>
      </c>
      <c r="CB7" s="97">
        <f t="shared" si="36"/>
        <v>1</v>
      </c>
      <c r="CC7" s="97">
        <f t="shared" si="36"/>
        <v>1</v>
      </c>
      <c r="CD7" s="97">
        <f t="shared" si="36"/>
        <v>1</v>
      </c>
      <c r="CE7" s="97">
        <f t="shared" si="36"/>
        <v>1</v>
      </c>
      <c r="CF7" s="98">
        <f t="shared" si="36"/>
        <v>1</v>
      </c>
      <c r="CG7" s="92"/>
      <c r="CH7" s="92"/>
      <c r="CI7" s="99" t="s">
        <v>163</v>
      </c>
      <c r="CJ7" s="97">
        <f t="shared" ref="CJ7:CP7" si="38">1-(CJ6/15)</f>
        <v>0.93333333333333335</v>
      </c>
      <c r="CK7" s="97">
        <f t="shared" si="38"/>
        <v>0.8666666666666667</v>
      </c>
      <c r="CL7" s="97">
        <f t="shared" si="38"/>
        <v>1</v>
      </c>
      <c r="CM7" s="97">
        <f t="shared" si="38"/>
        <v>0.73333333333333339</v>
      </c>
      <c r="CN7" s="97">
        <f t="shared" si="38"/>
        <v>0.1333333333333333</v>
      </c>
      <c r="CO7" s="97">
        <f t="shared" si="38"/>
        <v>0.66666666666666674</v>
      </c>
      <c r="CP7" s="98">
        <f t="shared" si="38"/>
        <v>1</v>
      </c>
      <c r="CQ7" s="100"/>
      <c r="CR7" s="100"/>
      <c r="CS7" s="99" t="s">
        <v>163</v>
      </c>
      <c r="CT7" s="97">
        <f t="shared" ref="CT7:DJ7" si="39">1-(CT6/15)</f>
        <v>1</v>
      </c>
      <c r="CU7" s="97">
        <f t="shared" si="39"/>
        <v>1</v>
      </c>
      <c r="CV7" s="97">
        <f t="shared" si="39"/>
        <v>0.93333333333333335</v>
      </c>
      <c r="CW7" s="97">
        <f t="shared" si="39"/>
        <v>1</v>
      </c>
      <c r="CX7" s="97">
        <f t="shared" si="39"/>
        <v>1</v>
      </c>
      <c r="CY7" s="97">
        <f t="shared" si="39"/>
        <v>1</v>
      </c>
      <c r="CZ7" s="97">
        <f t="shared" si="39"/>
        <v>1</v>
      </c>
      <c r="DA7" s="97">
        <f t="shared" si="39"/>
        <v>1</v>
      </c>
      <c r="DB7" s="97">
        <f t="shared" si="39"/>
        <v>1</v>
      </c>
      <c r="DC7" s="97">
        <f t="shared" si="39"/>
        <v>1</v>
      </c>
      <c r="DD7" s="97">
        <f t="shared" si="39"/>
        <v>1</v>
      </c>
      <c r="DE7" s="97">
        <f t="shared" si="39"/>
        <v>1</v>
      </c>
      <c r="DF7" s="97">
        <f t="shared" si="39"/>
        <v>1</v>
      </c>
      <c r="DG7" s="97">
        <f t="shared" si="39"/>
        <v>1</v>
      </c>
      <c r="DH7" s="97">
        <f t="shared" si="39"/>
        <v>1</v>
      </c>
      <c r="DI7" s="97">
        <f t="shared" si="39"/>
        <v>1</v>
      </c>
      <c r="DJ7" s="97">
        <f t="shared" si="39"/>
        <v>1</v>
      </c>
      <c r="DK7" s="100"/>
      <c r="DL7" s="101"/>
      <c r="DM7" s="102" t="s">
        <v>163</v>
      </c>
      <c r="DN7" s="103">
        <f>1-(DN6/15)</f>
        <v>1</v>
      </c>
      <c r="DO7" s="103">
        <f>1-(DO6/15)</f>
        <v>1</v>
      </c>
      <c r="DP7" s="103">
        <f>1-(DP6/15)</f>
        <v>0.33333333333333337</v>
      </c>
      <c r="DQ7" s="103">
        <f>1-(DQ6/15)</f>
        <v>0</v>
      </c>
      <c r="DR7" s="103">
        <f>1-(DR6/15)</f>
        <v>1</v>
      </c>
      <c r="DS7" s="103"/>
      <c r="DT7" s="103">
        <f t="shared" ref="DT7:DY7" si="40">1-(DT6/15)</f>
        <v>0.93333333333333335</v>
      </c>
      <c r="DU7" s="103">
        <f t="shared" si="40"/>
        <v>1</v>
      </c>
      <c r="DV7" s="103">
        <f t="shared" si="40"/>
        <v>0</v>
      </c>
      <c r="DW7" s="103">
        <f t="shared" si="40"/>
        <v>0</v>
      </c>
      <c r="DX7" s="358">
        <f t="shared" si="40"/>
        <v>0</v>
      </c>
      <c r="DY7" s="104">
        <f t="shared" si="40"/>
        <v>0</v>
      </c>
      <c r="DZ7" s="105"/>
      <c r="EA7" s="92"/>
      <c r="EB7" s="57" t="s">
        <v>163</v>
      </c>
      <c r="EC7" s="90">
        <f>1-(EC6/15)</f>
        <v>0.8666666666666667</v>
      </c>
      <c r="ED7" s="90">
        <f>1-(ED6/15)</f>
        <v>0.8666666666666667</v>
      </c>
      <c r="EE7" s="90">
        <f>1-(EE6/15)</f>
        <v>0.8666666666666667</v>
      </c>
      <c r="EF7" s="92"/>
      <c r="EG7" s="92"/>
      <c r="EH7" s="99" t="s">
        <v>163</v>
      </c>
      <c r="EI7" s="97">
        <f t="shared" ref="EI7:EW7" si="41">1-(EI6/15)</f>
        <v>1</v>
      </c>
      <c r="EJ7" s="97">
        <f t="shared" si="41"/>
        <v>1</v>
      </c>
      <c r="EK7" s="97">
        <f t="shared" si="41"/>
        <v>1</v>
      </c>
      <c r="EL7" s="97">
        <f t="shared" si="41"/>
        <v>0.93333333333333335</v>
      </c>
      <c r="EM7" s="97">
        <f t="shared" si="41"/>
        <v>1</v>
      </c>
      <c r="EN7" s="97">
        <f t="shared" si="41"/>
        <v>0</v>
      </c>
      <c r="EO7" s="97">
        <f t="shared" si="41"/>
        <v>0</v>
      </c>
      <c r="EP7" s="97">
        <f t="shared" si="41"/>
        <v>0</v>
      </c>
      <c r="EQ7" s="97">
        <f t="shared" si="41"/>
        <v>0</v>
      </c>
      <c r="ER7" s="97">
        <f t="shared" si="41"/>
        <v>0</v>
      </c>
      <c r="ES7" s="97">
        <f t="shared" si="41"/>
        <v>0</v>
      </c>
      <c r="ET7" s="97">
        <f t="shared" si="41"/>
        <v>0</v>
      </c>
      <c r="EU7" s="97">
        <f t="shared" si="41"/>
        <v>0</v>
      </c>
      <c r="EV7" s="97">
        <f t="shared" si="41"/>
        <v>0</v>
      </c>
      <c r="EW7" s="98">
        <f t="shared" si="41"/>
        <v>0</v>
      </c>
      <c r="EX7" s="283">
        <f t="shared" ref="EX7" si="42">1-(EX6/15)</f>
        <v>0.93333333333333335</v>
      </c>
      <c r="EY7" s="283">
        <f t="shared" ref="EY7" si="43">1-(EY6/15)</f>
        <v>0.66666666666666674</v>
      </c>
      <c r="EZ7" s="92"/>
      <c r="FA7" s="57" t="s">
        <v>163</v>
      </c>
      <c r="FB7" s="90">
        <f t="shared" ref="FB7:FJ7" si="44">1-(FB6/15)</f>
        <v>1</v>
      </c>
      <c r="FC7" s="90">
        <f t="shared" si="44"/>
        <v>1</v>
      </c>
      <c r="FD7" s="90">
        <f t="shared" si="44"/>
        <v>1</v>
      </c>
      <c r="FE7" s="90">
        <f t="shared" si="44"/>
        <v>1</v>
      </c>
      <c r="FF7" s="90">
        <f t="shared" si="44"/>
        <v>1</v>
      </c>
      <c r="FG7" s="90">
        <f t="shared" si="44"/>
        <v>1</v>
      </c>
      <c r="FH7" s="90">
        <f t="shared" si="44"/>
        <v>1</v>
      </c>
      <c r="FI7" s="90">
        <f t="shared" si="44"/>
        <v>1</v>
      </c>
      <c r="FJ7" s="90">
        <f t="shared" si="44"/>
        <v>1</v>
      </c>
      <c r="FK7" s="92"/>
      <c r="FL7" s="57" t="s">
        <v>163</v>
      </c>
      <c r="FM7" s="93">
        <f>1-(FM6/15)</f>
        <v>1</v>
      </c>
      <c r="FN7" s="93">
        <f>1-(FN6/15)</f>
        <v>1</v>
      </c>
      <c r="FO7" s="93">
        <f>1-(FO6/15)</f>
        <v>0.93333333333333335</v>
      </c>
      <c r="FP7" s="93">
        <f>1-(FP6/15)</f>
        <v>0.93333333333333335</v>
      </c>
      <c r="FQ7" s="94">
        <f>1-(FQ6/15)</f>
        <v>1</v>
      </c>
    </row>
    <row r="8" spans="1:173" s="141" customFormat="1" ht="22.35" customHeight="1" x14ac:dyDescent="0.25">
      <c r="A8" s="107"/>
      <c r="B8" s="108" t="s">
        <v>164</v>
      </c>
      <c r="C8" s="109">
        <f t="shared" ref="C8:V8" si="45">SUM(C13:C27)</f>
        <v>605</v>
      </c>
      <c r="D8" s="109">
        <f t="shared" si="45"/>
        <v>1417</v>
      </c>
      <c r="E8" s="109">
        <f t="shared" si="45"/>
        <v>54</v>
      </c>
      <c r="F8" s="110">
        <f t="shared" si="45"/>
        <v>0.57257107447363775</v>
      </c>
      <c r="G8" s="109">
        <f t="shared" si="45"/>
        <v>160</v>
      </c>
      <c r="H8" s="109">
        <f t="shared" si="45"/>
        <v>563.79090909090905</v>
      </c>
      <c r="I8" s="109">
        <f t="shared" si="45"/>
        <v>15</v>
      </c>
      <c r="J8" s="110">
        <f t="shared" si="45"/>
        <v>1.3636363636363638</v>
      </c>
      <c r="K8" s="109">
        <f t="shared" si="45"/>
        <v>9</v>
      </c>
      <c r="L8" s="110">
        <f t="shared" si="45"/>
        <v>3</v>
      </c>
      <c r="M8" s="109">
        <f t="shared" si="45"/>
        <v>25</v>
      </c>
      <c r="N8" s="110">
        <f t="shared" si="45"/>
        <v>2.2727272727272725</v>
      </c>
      <c r="O8" s="109">
        <f t="shared" si="45"/>
        <v>7</v>
      </c>
      <c r="P8" s="110">
        <f t="shared" si="45"/>
        <v>2.3333333333333335</v>
      </c>
      <c r="Q8" s="109">
        <f t="shared" si="45"/>
        <v>0</v>
      </c>
      <c r="R8" s="110">
        <f t="shared" si="45"/>
        <v>0</v>
      </c>
      <c r="S8" s="109">
        <f t="shared" si="45"/>
        <v>0</v>
      </c>
      <c r="T8" s="110">
        <f t="shared" si="45"/>
        <v>0</v>
      </c>
      <c r="U8" s="111">
        <f t="shared" si="45"/>
        <v>0</v>
      </c>
      <c r="V8" s="112">
        <f t="shared" si="45"/>
        <v>0</v>
      </c>
      <c r="W8" s="113"/>
      <c r="X8" s="114">
        <v>1</v>
      </c>
      <c r="Y8" s="115">
        <f>+COUNTIF(Y$13:Y$27,$X$8)/Y5</f>
        <v>0</v>
      </c>
      <c r="Z8" s="115">
        <f>+COUNTIF(Z$13:Z$27,$X$8)/$Z$5</f>
        <v>0.16666666666666666</v>
      </c>
      <c r="AA8" s="115">
        <f>+COUNTIFS($Z$13:$Z$27,$X$8,AA$13:AA$27,$X8)/$AA$5</f>
        <v>1</v>
      </c>
      <c r="AB8" s="115">
        <f>+COUNTIFS($Z$13:$Z$27,$X$8,AB$13:AB$27,$X8)/$AB$5</f>
        <v>0</v>
      </c>
      <c r="AC8" s="115">
        <f t="shared" ref="AC8:AG9" si="46">+COUNTIFS($Z$13:$Z$27,$X$8,AC$13:AC$27,$X8)/$AB$5</f>
        <v>1</v>
      </c>
      <c r="AD8" s="115">
        <f t="shared" si="46"/>
        <v>0</v>
      </c>
      <c r="AE8" s="115">
        <f t="shared" si="46"/>
        <v>0</v>
      </c>
      <c r="AF8" s="115">
        <f t="shared" si="46"/>
        <v>1</v>
      </c>
      <c r="AG8" s="115">
        <f t="shared" si="46"/>
        <v>1</v>
      </c>
      <c r="AH8" s="117"/>
      <c r="AI8" s="118"/>
      <c r="AJ8" s="65" t="s">
        <v>164</v>
      </c>
      <c r="AK8" s="119">
        <f>SUM(AK13:AK27)</f>
        <v>32</v>
      </c>
      <c r="AL8" s="119">
        <f>SUM(AL13:AL27)</f>
        <v>50</v>
      </c>
      <c r="AM8" s="119">
        <f>SUM(AM13:AM27)</f>
        <v>2575</v>
      </c>
      <c r="AN8" s="119">
        <f>SUM(AN13:AN27)</f>
        <v>810.3</v>
      </c>
      <c r="AO8" s="120">
        <f>SUM(AO13:AO27)</f>
        <v>9.0131593134240937</v>
      </c>
      <c r="AP8" s="65">
        <v>1</v>
      </c>
      <c r="AQ8" s="120">
        <f>+COUNTIF(AQ$13:AQ$27,$AP8)/$AQ$5</f>
        <v>0.13333333333333333</v>
      </c>
      <c r="AR8" s="120">
        <f>+COUNTIF(AR$13:AR$27,$AP8)/AR$5</f>
        <v>0</v>
      </c>
      <c r="AS8" s="120">
        <f>+COUNTIF(AS$13:AS$27,$AP8)/AS$5</f>
        <v>0.8666666666666667</v>
      </c>
      <c r="AT8" s="120">
        <f t="shared" ref="AT8:AW11" si="47">+COUNTIF(AT$13:AT$27,$AP8)/AT$5</f>
        <v>0.4</v>
      </c>
      <c r="AU8" s="120">
        <f t="shared" si="47"/>
        <v>1</v>
      </c>
      <c r="AV8" s="120">
        <f>SUM(AV13:AV27)</f>
        <v>6.8184940764564583</v>
      </c>
      <c r="AW8" s="121">
        <f t="shared" si="47"/>
        <v>0.8</v>
      </c>
      <c r="AX8" s="117"/>
      <c r="AY8" s="113"/>
      <c r="AZ8" s="122" t="s">
        <v>164</v>
      </c>
      <c r="BA8" s="123">
        <f t="shared" ref="BA8:BF8" si="48">SUM(BA13:BA27)</f>
        <v>134</v>
      </c>
      <c r="BB8" s="123">
        <f t="shared" si="48"/>
        <v>0</v>
      </c>
      <c r="BC8" s="123">
        <f>SUM(BC13:BC27)</f>
        <v>21</v>
      </c>
      <c r="BD8" s="123">
        <f t="shared" si="48"/>
        <v>166</v>
      </c>
      <c r="BE8" s="124">
        <f t="shared" si="48"/>
        <v>52.166666666666664</v>
      </c>
      <c r="BF8" s="115">
        <f t="shared" si="48"/>
        <v>5.6245791245791246</v>
      </c>
      <c r="BG8" s="125">
        <v>1</v>
      </c>
      <c r="BH8" s="115">
        <f>+COUNTIF(BH$13:BH$27,$BG8)/BH$5</f>
        <v>0.45454545454545453</v>
      </c>
      <c r="BI8" s="115">
        <f t="shared" ref="BI8:BP11" si="49">+COUNTIF(BI$13:BI$27,$BG8)/BI$5</f>
        <v>0.22222222222222221</v>
      </c>
      <c r="BJ8" s="115">
        <f t="shared" si="49"/>
        <v>0</v>
      </c>
      <c r="BK8" s="115">
        <f t="shared" si="49"/>
        <v>0.7</v>
      </c>
      <c r="BL8" s="115">
        <f t="shared" si="49"/>
        <v>0.4</v>
      </c>
      <c r="BM8" s="115">
        <f t="shared" si="49"/>
        <v>1</v>
      </c>
      <c r="BN8" s="123">
        <f>SUM(BN13:BN27)</f>
        <v>11.478888888888878</v>
      </c>
      <c r="BO8" s="115">
        <f t="shared" si="49"/>
        <v>0.6</v>
      </c>
      <c r="BP8" s="116">
        <f t="shared" si="49"/>
        <v>0.125</v>
      </c>
      <c r="BQ8" s="113"/>
      <c r="BR8" s="113"/>
      <c r="BS8" s="126" t="s">
        <v>164</v>
      </c>
      <c r="BT8" s="119">
        <f t="shared" ref="BT8:BY8" si="50">SUM(BT13:BT27)</f>
        <v>26</v>
      </c>
      <c r="BU8" s="272">
        <f t="shared" si="50"/>
        <v>0</v>
      </c>
      <c r="BV8" s="119">
        <f t="shared" si="50"/>
        <v>11</v>
      </c>
      <c r="BW8" s="119">
        <f t="shared" si="50"/>
        <v>10</v>
      </c>
      <c r="BX8" s="119">
        <f t="shared" si="50"/>
        <v>2</v>
      </c>
      <c r="BY8" s="120">
        <f t="shared" si="50"/>
        <v>1</v>
      </c>
      <c r="BZ8" s="65">
        <v>1</v>
      </c>
      <c r="CA8" s="120">
        <f t="shared" ref="CA8:CF11" si="51">+COUNTIF(CA$13:CA$27,$BZ8)/CA$5</f>
        <v>0.6428571428571429</v>
      </c>
      <c r="CB8" s="120">
        <f t="shared" si="51"/>
        <v>0</v>
      </c>
      <c r="CC8" s="120">
        <f t="shared" si="51"/>
        <v>0</v>
      </c>
      <c r="CD8" s="120">
        <f t="shared" si="51"/>
        <v>0.33333333333333331</v>
      </c>
      <c r="CE8" s="120">
        <f t="shared" si="51"/>
        <v>0</v>
      </c>
      <c r="CF8" s="121">
        <f t="shared" si="51"/>
        <v>0.33333333333333331</v>
      </c>
      <c r="CG8" s="117"/>
      <c r="CH8" s="117"/>
      <c r="CI8" s="126">
        <v>1</v>
      </c>
      <c r="CJ8" s="120">
        <f>+COUNTIF(CJ$13:CJ$27,$CI8)/CJ$5</f>
        <v>0</v>
      </c>
      <c r="CK8" s="120">
        <f>+COUNTIF(CK$13:CK$27,$CI8)/CK$5</f>
        <v>1</v>
      </c>
      <c r="CL8" s="119" t="s">
        <v>164</v>
      </c>
      <c r="CM8" s="119">
        <f>SUM(CM13:CM27)</f>
        <v>32849.514563106794</v>
      </c>
      <c r="CN8" s="119">
        <f>SUM(CN13:CN27)</f>
        <v>5</v>
      </c>
      <c r="CO8" s="119">
        <f>SUM(CO13:CO27)</f>
        <v>986</v>
      </c>
      <c r="CP8" s="121">
        <f>SUM(CP13:CP27)</f>
        <v>9.9160305343511439</v>
      </c>
      <c r="CQ8" s="113"/>
      <c r="CR8" s="113"/>
      <c r="CS8" s="127">
        <v>1</v>
      </c>
      <c r="CT8" s="120">
        <f>+COUNTIF(CT$13:CT$27,$CS8)/CT$5</f>
        <v>0.93333333333333335</v>
      </c>
      <c r="CU8" s="120">
        <f t="shared" ref="CU8:DJ10" si="52">+COUNTIF(CU$13:CU$27,$CS8)/CU$5</f>
        <v>0</v>
      </c>
      <c r="CV8" s="120">
        <f t="shared" si="52"/>
        <v>0.21428571428571427</v>
      </c>
      <c r="CW8" s="120">
        <f t="shared" si="52"/>
        <v>0.4</v>
      </c>
      <c r="CX8" s="120">
        <f t="shared" si="52"/>
        <v>0.93333333333333335</v>
      </c>
      <c r="CY8" s="120">
        <f t="shared" si="52"/>
        <v>1</v>
      </c>
      <c r="CZ8" s="120">
        <f t="shared" si="52"/>
        <v>1</v>
      </c>
      <c r="DA8" s="120">
        <f t="shared" si="52"/>
        <v>6.6666666666666666E-2</v>
      </c>
      <c r="DB8" s="120">
        <f t="shared" si="52"/>
        <v>1</v>
      </c>
      <c r="DC8" s="120">
        <f t="shared" si="52"/>
        <v>0.8666666666666667</v>
      </c>
      <c r="DD8" s="120">
        <f t="shared" si="52"/>
        <v>1</v>
      </c>
      <c r="DE8" s="120">
        <f t="shared" si="52"/>
        <v>0</v>
      </c>
      <c r="DF8" s="120">
        <f t="shared" si="52"/>
        <v>1</v>
      </c>
      <c r="DG8" s="120">
        <f t="shared" si="52"/>
        <v>1</v>
      </c>
      <c r="DH8" s="120">
        <f t="shared" si="52"/>
        <v>0</v>
      </c>
      <c r="DI8" s="120">
        <f t="shared" si="52"/>
        <v>0.6</v>
      </c>
      <c r="DJ8" s="120">
        <f t="shared" si="52"/>
        <v>0.53333333333333333</v>
      </c>
      <c r="DK8" s="117"/>
      <c r="DL8" s="128"/>
      <c r="DM8" s="129">
        <v>1</v>
      </c>
      <c r="DN8" s="130">
        <f>+COUNTIF(DN$13:DN$27,$DM8)/DN$5</f>
        <v>0.73333333333333328</v>
      </c>
      <c r="DO8" s="130">
        <f>+COUNTIF(DO$13:DO$27,$DM8)/DO$5</f>
        <v>0.66666666666666663</v>
      </c>
      <c r="DP8" s="130">
        <f>+COUNTIF(DP$13:DP$27,$DM8)/DP$5</f>
        <v>1</v>
      </c>
      <c r="DQ8" s="130" t="e">
        <f>+COUNTIF(DQ$13:DQ$27,$DM8)/DQ$5</f>
        <v>#DIV/0!</v>
      </c>
      <c r="DR8" s="130">
        <f>+COUNTIF(DR$13:DR$27,$DM8)/DR$5</f>
        <v>0</v>
      </c>
      <c r="DS8" s="131" t="s">
        <v>164</v>
      </c>
      <c r="DT8" s="132">
        <f t="shared" ref="DT8:DY8" si="53">SUM(DT13:DT27)</f>
        <v>1097</v>
      </c>
      <c r="DU8" s="132">
        <f t="shared" si="53"/>
        <v>11.618079612006222</v>
      </c>
      <c r="DV8" s="132">
        <f t="shared" si="53"/>
        <v>0</v>
      </c>
      <c r="DW8" s="132">
        <f t="shared" si="53"/>
        <v>0</v>
      </c>
      <c r="DX8" s="359">
        <f t="shared" si="53"/>
        <v>0</v>
      </c>
      <c r="DY8" s="133">
        <f t="shared" si="53"/>
        <v>0</v>
      </c>
      <c r="DZ8" s="134"/>
      <c r="EA8" s="113"/>
      <c r="EB8" s="135" t="s">
        <v>164</v>
      </c>
      <c r="EC8" s="136">
        <f>SUM(EC13:EC27)</f>
        <v>0</v>
      </c>
      <c r="ED8" s="136">
        <f>SUM(ED13:ED27)</f>
        <v>0</v>
      </c>
      <c r="EE8" s="136">
        <f>SUM(EE13:EE27)</f>
        <v>0</v>
      </c>
      <c r="EF8" s="113"/>
      <c r="EG8" s="113"/>
      <c r="EH8" s="127" t="s">
        <v>164</v>
      </c>
      <c r="EI8" s="137">
        <f>SUM(EI13:EI27)</f>
        <v>1279.6500000000001</v>
      </c>
      <c r="EJ8" s="137">
        <f t="shared" ref="EJ8:EV8" si="54">SUM(EJ13:EJ27)</f>
        <v>1241.6750000000002</v>
      </c>
      <c r="EK8" s="138">
        <f>SUM(EK13:EK27)</f>
        <v>14.987330722658665</v>
      </c>
      <c r="EL8" s="137">
        <f t="shared" si="54"/>
        <v>1223.7750000000001</v>
      </c>
      <c r="EM8" s="138">
        <f>SUM(EM13:EM27)</f>
        <v>13.590944668236897</v>
      </c>
      <c r="EN8" s="137">
        <f>SUM(EN13:EN27)</f>
        <v>0</v>
      </c>
      <c r="EO8" s="137">
        <f t="shared" si="54"/>
        <v>0</v>
      </c>
      <c r="EP8" s="137">
        <f t="shared" si="54"/>
        <v>0</v>
      </c>
      <c r="EQ8" s="137">
        <f t="shared" si="54"/>
        <v>0</v>
      </c>
      <c r="ER8" s="137">
        <f t="shared" si="54"/>
        <v>0</v>
      </c>
      <c r="ES8" s="137">
        <f t="shared" si="54"/>
        <v>0</v>
      </c>
      <c r="ET8" s="137">
        <f t="shared" si="54"/>
        <v>0</v>
      </c>
      <c r="EU8" s="137">
        <f t="shared" si="54"/>
        <v>0</v>
      </c>
      <c r="EV8" s="137">
        <f t="shared" si="54"/>
        <v>0</v>
      </c>
      <c r="EW8" s="139">
        <f>SUM(EW13:EW27)</f>
        <v>0</v>
      </c>
      <c r="EX8" s="284">
        <f>SUM(EX13:EX27)</f>
        <v>0</v>
      </c>
      <c r="EY8" s="284" t="e">
        <f>SUM(EY13:EY27)</f>
        <v>#DIV/0!</v>
      </c>
      <c r="EZ8" s="113"/>
      <c r="FA8" s="140" t="s">
        <v>164</v>
      </c>
      <c r="FB8" s="136">
        <f>SUM(FB13:FB27)</f>
        <v>1382</v>
      </c>
      <c r="FC8" s="136">
        <f t="shared" ref="FC8:FJ8" si="55">SUM(FB13:FB27)</f>
        <v>1382</v>
      </c>
      <c r="FD8" s="136">
        <f t="shared" si="55"/>
        <v>3833.75</v>
      </c>
      <c r="FE8" s="136">
        <f t="shared" si="55"/>
        <v>14.564429999999998</v>
      </c>
      <c r="FF8" s="136">
        <f t="shared" si="55"/>
        <v>3808.6413349999998</v>
      </c>
      <c r="FG8" s="136">
        <f t="shared" si="55"/>
        <v>1415</v>
      </c>
      <c r="FH8" s="136">
        <f t="shared" si="55"/>
        <v>4439.83</v>
      </c>
      <c r="FI8" s="136">
        <f t="shared" si="55"/>
        <v>49.602990987393248</v>
      </c>
      <c r="FJ8" s="136">
        <f t="shared" si="55"/>
        <v>965.67000000000007</v>
      </c>
      <c r="FK8" s="113"/>
      <c r="FL8" s="122" t="s">
        <v>164</v>
      </c>
      <c r="FM8" s="123">
        <f>SUM(FM13:FM27)</f>
        <v>12</v>
      </c>
      <c r="FN8" s="123">
        <f t="shared" ref="FN8:FQ8" si="56">SUM(FN13:FN27)</f>
        <v>30</v>
      </c>
      <c r="FO8" s="123">
        <f t="shared" si="56"/>
        <v>9</v>
      </c>
      <c r="FP8" s="123">
        <f t="shared" si="56"/>
        <v>1</v>
      </c>
      <c r="FQ8" s="123">
        <f t="shared" si="56"/>
        <v>18</v>
      </c>
    </row>
    <row r="9" spans="1:173" s="141" customFormat="1" ht="22.35" customHeight="1" x14ac:dyDescent="0.25">
      <c r="A9" s="113"/>
      <c r="B9" s="114" t="s">
        <v>165</v>
      </c>
      <c r="C9" s="123">
        <f t="shared" ref="C9:V9" si="57">MIN(C13:C27)</f>
        <v>9</v>
      </c>
      <c r="D9" s="123">
        <f t="shared" si="57"/>
        <v>18</v>
      </c>
      <c r="E9" s="123">
        <f t="shared" si="57"/>
        <v>0</v>
      </c>
      <c r="F9" s="115">
        <f t="shared" si="57"/>
        <v>0</v>
      </c>
      <c r="G9" s="123">
        <f t="shared" si="57"/>
        <v>6</v>
      </c>
      <c r="H9" s="123">
        <f t="shared" si="57"/>
        <v>28</v>
      </c>
      <c r="I9" s="123">
        <f t="shared" si="57"/>
        <v>0</v>
      </c>
      <c r="J9" s="115">
        <f t="shared" si="57"/>
        <v>0</v>
      </c>
      <c r="K9" s="123">
        <f t="shared" si="57"/>
        <v>0</v>
      </c>
      <c r="L9" s="115">
        <f t="shared" si="57"/>
        <v>0</v>
      </c>
      <c r="M9" s="123">
        <f t="shared" si="57"/>
        <v>0</v>
      </c>
      <c r="N9" s="115">
        <f t="shared" si="57"/>
        <v>0</v>
      </c>
      <c r="O9" s="123">
        <f t="shared" si="57"/>
        <v>0</v>
      </c>
      <c r="P9" s="115">
        <f t="shared" si="57"/>
        <v>0</v>
      </c>
      <c r="Q9" s="123">
        <f t="shared" si="57"/>
        <v>0</v>
      </c>
      <c r="R9" s="115">
        <f t="shared" si="57"/>
        <v>0</v>
      </c>
      <c r="S9" s="123">
        <f t="shared" si="57"/>
        <v>0</v>
      </c>
      <c r="T9" s="115">
        <f t="shared" si="57"/>
        <v>0</v>
      </c>
      <c r="U9" s="124">
        <f t="shared" si="57"/>
        <v>0</v>
      </c>
      <c r="V9" s="116">
        <f t="shared" si="57"/>
        <v>0</v>
      </c>
      <c r="W9" s="113"/>
      <c r="X9" s="114">
        <v>2</v>
      </c>
      <c r="Y9" s="115">
        <f>+COUNTIF(Y$13:Y$27,$X$9)/Y5</f>
        <v>1</v>
      </c>
      <c r="Z9" s="115">
        <f>+COUNTIF(Z$13:Z$27,$X$9)/$Z$5</f>
        <v>0.83333333333333337</v>
      </c>
      <c r="AA9" s="115">
        <f>+COUNTIFS($Z$13:$Z$27,$X$8,AA$13:AA$27,$X9)/$AA$5</f>
        <v>0</v>
      </c>
      <c r="AB9" s="115">
        <f>+COUNTIFS($Z$13:$Z$27,$X$8,AB$13:AB$27,$X9)/$AB$5</f>
        <v>0</v>
      </c>
      <c r="AC9" s="115">
        <f t="shared" si="46"/>
        <v>0</v>
      </c>
      <c r="AD9" s="115">
        <f t="shared" si="46"/>
        <v>0</v>
      </c>
      <c r="AE9" s="115">
        <f t="shared" si="46"/>
        <v>0</v>
      </c>
      <c r="AF9" s="115">
        <f t="shared" si="46"/>
        <v>0</v>
      </c>
      <c r="AG9" s="115">
        <f t="shared" si="46"/>
        <v>0</v>
      </c>
      <c r="AH9" s="117"/>
      <c r="AI9" s="118"/>
      <c r="AJ9" s="65" t="s">
        <v>165</v>
      </c>
      <c r="AK9" s="119">
        <f>MIN(AK13:AK27)</f>
        <v>2</v>
      </c>
      <c r="AL9" s="119">
        <f>MIN(AL13:AL27)</f>
        <v>2</v>
      </c>
      <c r="AM9" s="119">
        <f>MIN(AM13:AM27)</f>
        <v>44</v>
      </c>
      <c r="AN9" s="142">
        <f>MIN(AN13:AN27)</f>
        <v>18</v>
      </c>
      <c r="AO9" s="120">
        <f>MIN(AO13:AO27)</f>
        <v>0.29729729729729731</v>
      </c>
      <c r="AP9" s="65">
        <v>2</v>
      </c>
      <c r="AQ9" s="120">
        <f>+COUNTIF(AQ$13:AQ$27,$AP9)/$AQ$5</f>
        <v>0</v>
      </c>
      <c r="AR9" s="120">
        <f>+COUNTIF(AR$13:AR$27,$AP9)/$AR$5</f>
        <v>0.26666666666666666</v>
      </c>
      <c r="AS9" s="120">
        <f>+COUNTIF(AS$13:AS$27,$AP9)/AS$5</f>
        <v>0.13333333333333333</v>
      </c>
      <c r="AT9" s="120">
        <f t="shared" si="47"/>
        <v>0.6</v>
      </c>
      <c r="AU9" s="120">
        <f t="shared" si="47"/>
        <v>0</v>
      </c>
      <c r="AV9" s="120">
        <f>MIN(AV13:AV27)</f>
        <v>0.17241379310344801</v>
      </c>
      <c r="AW9" s="121">
        <f t="shared" si="47"/>
        <v>0.2</v>
      </c>
      <c r="AX9" s="117"/>
      <c r="AY9" s="113"/>
      <c r="AZ9" s="122" t="s">
        <v>165</v>
      </c>
      <c r="BA9" s="123">
        <f t="shared" ref="BA9:BF9" si="58">MIN(BA13:BA27)</f>
        <v>6</v>
      </c>
      <c r="BB9" s="123">
        <f t="shared" si="58"/>
        <v>0</v>
      </c>
      <c r="BC9" s="123">
        <f>MIN(BC13:BC27)</f>
        <v>0</v>
      </c>
      <c r="BD9" s="123">
        <f t="shared" si="58"/>
        <v>9</v>
      </c>
      <c r="BE9" s="124">
        <f t="shared" si="58"/>
        <v>7.666666666666667</v>
      </c>
      <c r="BF9" s="115">
        <f t="shared" si="58"/>
        <v>0</v>
      </c>
      <c r="BG9" s="125">
        <v>2</v>
      </c>
      <c r="BH9" s="115">
        <f>+COUNTIF(BH$13:BH$27,$BG9)/BH$5</f>
        <v>0.54545454545454541</v>
      </c>
      <c r="BI9" s="115">
        <f t="shared" si="49"/>
        <v>0</v>
      </c>
      <c r="BJ9" s="115">
        <f t="shared" si="49"/>
        <v>0.2</v>
      </c>
      <c r="BK9" s="115">
        <f t="shared" si="49"/>
        <v>0</v>
      </c>
      <c r="BL9" s="115">
        <f t="shared" si="49"/>
        <v>0.6</v>
      </c>
      <c r="BM9" s="115">
        <f t="shared" si="49"/>
        <v>0</v>
      </c>
      <c r="BN9" s="123">
        <f>MIN(BN13:BN27)</f>
        <v>0.04</v>
      </c>
      <c r="BO9" s="115">
        <f t="shared" si="49"/>
        <v>0.3</v>
      </c>
      <c r="BP9" s="116">
        <f t="shared" si="49"/>
        <v>0.625</v>
      </c>
      <c r="BQ9" s="113" t="s">
        <v>166</v>
      </c>
      <c r="BR9" s="113"/>
      <c r="BS9" s="126" t="s">
        <v>165</v>
      </c>
      <c r="BT9" s="119">
        <f t="shared" ref="BT9:BY9" si="59">MIN(BT13:BT27)</f>
        <v>0</v>
      </c>
      <c r="BU9" s="272">
        <f t="shared" si="59"/>
        <v>0</v>
      </c>
      <c r="BV9" s="119">
        <f t="shared" si="59"/>
        <v>0</v>
      </c>
      <c r="BW9" s="119">
        <f t="shared" si="59"/>
        <v>0</v>
      </c>
      <c r="BX9" s="119">
        <f t="shared" si="59"/>
        <v>0</v>
      </c>
      <c r="BY9" s="120">
        <f t="shared" si="59"/>
        <v>0</v>
      </c>
      <c r="BZ9" s="65">
        <v>2</v>
      </c>
      <c r="CA9" s="120">
        <f t="shared" si="51"/>
        <v>0.2857142857142857</v>
      </c>
      <c r="CB9" s="120">
        <f t="shared" si="51"/>
        <v>0</v>
      </c>
      <c r="CC9" s="120">
        <f t="shared" si="51"/>
        <v>0</v>
      </c>
      <c r="CD9" s="120">
        <f t="shared" si="51"/>
        <v>0.5</v>
      </c>
      <c r="CE9" s="120">
        <f t="shared" si="51"/>
        <v>0.83333333333333337</v>
      </c>
      <c r="CF9" s="121">
        <f t="shared" si="51"/>
        <v>0.5</v>
      </c>
      <c r="CG9" s="117"/>
      <c r="CH9" s="117"/>
      <c r="CI9" s="126">
        <v>2</v>
      </c>
      <c r="CJ9" s="120">
        <f t="shared" ref="CJ9:CK11" si="60">+COUNTIF(CJ$13:CJ$27,$CI9)/CJ$5</f>
        <v>0</v>
      </c>
      <c r="CK9" s="120">
        <f t="shared" si="60"/>
        <v>0</v>
      </c>
      <c r="CL9" s="119" t="s">
        <v>165</v>
      </c>
      <c r="CM9" s="119">
        <f>MIN(CM13:CM27)</f>
        <v>1000</v>
      </c>
      <c r="CN9" s="119">
        <f>MIN(CN13:CN27)</f>
        <v>5</v>
      </c>
      <c r="CO9" s="119">
        <f>MIN(CO13:CO27)</f>
        <v>47</v>
      </c>
      <c r="CP9" s="121">
        <f>MIN(CP13:CP27)</f>
        <v>0</v>
      </c>
      <c r="CQ9" s="113"/>
      <c r="CR9" s="113"/>
      <c r="CS9" s="127">
        <v>2</v>
      </c>
      <c r="CT9" s="120">
        <f>+COUNTIF(CT$13:CT$27,$CS9)/CT$5</f>
        <v>0</v>
      </c>
      <c r="CU9" s="120">
        <f t="shared" si="52"/>
        <v>0</v>
      </c>
      <c r="CV9" s="120">
        <f t="shared" si="52"/>
        <v>0</v>
      </c>
      <c r="CW9" s="120">
        <f t="shared" si="52"/>
        <v>0</v>
      </c>
      <c r="CX9" s="120">
        <f t="shared" si="52"/>
        <v>0</v>
      </c>
      <c r="CY9" s="120">
        <f t="shared" si="52"/>
        <v>0</v>
      </c>
      <c r="CZ9" s="120">
        <f t="shared" si="52"/>
        <v>0</v>
      </c>
      <c r="DA9" s="120">
        <f t="shared" si="52"/>
        <v>0.13333333333333333</v>
      </c>
      <c r="DB9" s="120">
        <f t="shared" si="52"/>
        <v>0</v>
      </c>
      <c r="DC9" s="120">
        <f t="shared" si="52"/>
        <v>0</v>
      </c>
      <c r="DD9" s="120">
        <f t="shared" si="52"/>
        <v>0</v>
      </c>
      <c r="DE9" s="120">
        <f t="shared" si="52"/>
        <v>0</v>
      </c>
      <c r="DF9" s="120">
        <f t="shared" si="52"/>
        <v>0</v>
      </c>
      <c r="DG9" s="120">
        <f t="shared" si="52"/>
        <v>0</v>
      </c>
      <c r="DH9" s="120">
        <f t="shared" si="52"/>
        <v>0.2</v>
      </c>
      <c r="DI9" s="120">
        <f t="shared" si="52"/>
        <v>0.13333333333333333</v>
      </c>
      <c r="DJ9" s="120">
        <f t="shared" si="52"/>
        <v>0</v>
      </c>
      <c r="DK9" s="117"/>
      <c r="DL9" s="128"/>
      <c r="DM9" s="129">
        <v>2</v>
      </c>
      <c r="DN9" s="130">
        <f t="shared" ref="DN9:DO11" si="61">+COUNTIF(DN$13:DN$27,$DM9)/DN$5</f>
        <v>0.26666666666666666</v>
      </c>
      <c r="DO9" s="130">
        <f t="shared" si="61"/>
        <v>0.33333333333333331</v>
      </c>
      <c r="DP9" s="130">
        <f>+COUNTIF(DP$13:DP$27,$DM$9)/15</f>
        <v>0</v>
      </c>
      <c r="DQ9" s="130">
        <f>+COUNTIF(DQ$13:DQ$27,$DM$9)/15</f>
        <v>0</v>
      </c>
      <c r="DR9" s="130">
        <f>+COUNTIF(DR$13:DR$27,$DM$9)/15</f>
        <v>0</v>
      </c>
      <c r="DS9" s="131" t="s">
        <v>165</v>
      </c>
      <c r="DT9" s="132">
        <f t="shared" ref="DT9:DY9" si="62">MIN(DT13:DT27)</f>
        <v>18</v>
      </c>
      <c r="DU9" s="132">
        <f t="shared" si="62"/>
        <v>0</v>
      </c>
      <c r="DV9" s="132">
        <f t="shared" si="62"/>
        <v>0</v>
      </c>
      <c r="DW9" s="132">
        <f t="shared" si="62"/>
        <v>0</v>
      </c>
      <c r="DX9" s="359">
        <f t="shared" si="62"/>
        <v>0</v>
      </c>
      <c r="DY9" s="133">
        <f t="shared" si="62"/>
        <v>0</v>
      </c>
      <c r="DZ9" s="134"/>
      <c r="EA9" s="113"/>
      <c r="EB9" s="143" t="s">
        <v>165</v>
      </c>
      <c r="EC9" s="119">
        <f>MIN(EC13:EC27)</f>
        <v>0</v>
      </c>
      <c r="ED9" s="119">
        <f>MIN(ED13:ED27)</f>
        <v>0</v>
      </c>
      <c r="EE9" s="119">
        <f>MIN(EE13:EE27)</f>
        <v>0</v>
      </c>
      <c r="EF9" s="113"/>
      <c r="EG9" s="113"/>
      <c r="EH9" s="127" t="s">
        <v>165</v>
      </c>
      <c r="EI9" s="137">
        <f>MIN(EI13:EI27)</f>
        <v>12.25</v>
      </c>
      <c r="EJ9" s="137">
        <f t="shared" ref="EJ9:EV9" si="63">MIN(EJ13:EJ27)</f>
        <v>16.649999999999999</v>
      </c>
      <c r="EK9" s="138">
        <f>MIN(EK13:EK27)</f>
        <v>0.68310858765081617</v>
      </c>
      <c r="EL9" s="137">
        <f t="shared" si="63"/>
        <v>34.299999999999997</v>
      </c>
      <c r="EM9" s="138">
        <f>MIN(EM13:EM27)</f>
        <v>0</v>
      </c>
      <c r="EN9" s="137">
        <f>MIN(EN13:EN27)</f>
        <v>0</v>
      </c>
      <c r="EO9" s="137">
        <f t="shared" si="63"/>
        <v>0</v>
      </c>
      <c r="EP9" s="137">
        <f t="shared" si="63"/>
        <v>0</v>
      </c>
      <c r="EQ9" s="137">
        <f t="shared" si="63"/>
        <v>0</v>
      </c>
      <c r="ER9" s="137">
        <f t="shared" si="63"/>
        <v>0</v>
      </c>
      <c r="ES9" s="137">
        <f t="shared" si="63"/>
        <v>0</v>
      </c>
      <c r="ET9" s="137">
        <f t="shared" si="63"/>
        <v>0</v>
      </c>
      <c r="EU9" s="137">
        <f t="shared" si="63"/>
        <v>0</v>
      </c>
      <c r="EV9" s="137">
        <f t="shared" si="63"/>
        <v>0</v>
      </c>
      <c r="EW9" s="139">
        <f>MIN(EW13:EW27)</f>
        <v>0</v>
      </c>
      <c r="EX9" s="284">
        <f>MIN(EX13:EX27)</f>
        <v>0</v>
      </c>
      <c r="EY9" s="284" t="e">
        <f>MIN(EY13:EY27)</f>
        <v>#DIV/0!</v>
      </c>
      <c r="EZ9" s="113" t="s">
        <v>166</v>
      </c>
      <c r="FA9" s="127" t="s">
        <v>165</v>
      </c>
      <c r="FB9" s="119">
        <f>MIN(FB13:FB27)</f>
        <v>19</v>
      </c>
      <c r="FC9" s="119">
        <f t="shared" ref="FC9:FJ9" si="64">MIN(FB13:FB27)</f>
        <v>19</v>
      </c>
      <c r="FD9" s="119">
        <f t="shared" si="64"/>
        <v>49</v>
      </c>
      <c r="FE9" s="119">
        <f t="shared" si="64"/>
        <v>0.80900000000000005</v>
      </c>
      <c r="FF9" s="119">
        <f t="shared" si="64"/>
        <v>39.983999999999995</v>
      </c>
      <c r="FG9" s="119">
        <f t="shared" si="64"/>
        <v>18</v>
      </c>
      <c r="FH9" s="119">
        <f t="shared" si="64"/>
        <v>57.06</v>
      </c>
      <c r="FI9" s="119">
        <f t="shared" si="64"/>
        <v>1.5054867256637168</v>
      </c>
      <c r="FJ9" s="119">
        <f t="shared" si="64"/>
        <v>0.95</v>
      </c>
      <c r="FK9" s="113"/>
      <c r="FL9" s="122" t="s">
        <v>165</v>
      </c>
      <c r="FM9" s="123">
        <f>MIN(FM13:FM27)</f>
        <v>0</v>
      </c>
      <c r="FN9" s="123">
        <f t="shared" ref="FN9:FQ9" si="65">MIN(FN13:FN27)</f>
        <v>0</v>
      </c>
      <c r="FO9" s="123">
        <f t="shared" si="65"/>
        <v>0</v>
      </c>
      <c r="FP9" s="123">
        <f t="shared" si="65"/>
        <v>0</v>
      </c>
      <c r="FQ9" s="123">
        <f t="shared" si="65"/>
        <v>0</v>
      </c>
    </row>
    <row r="10" spans="1:173" s="141" customFormat="1" ht="22.35" customHeight="1" x14ac:dyDescent="0.25">
      <c r="A10" s="113"/>
      <c r="B10" s="114" t="s">
        <v>167</v>
      </c>
      <c r="C10" s="124">
        <f>AVERAGE(C13:C27)</f>
        <v>43.214285714285715</v>
      </c>
      <c r="D10" s="124">
        <f>AVERAGE(D13:D27)</f>
        <v>94.466666666666669</v>
      </c>
      <c r="E10" s="124">
        <f>AVERAGE(E13:E27)</f>
        <v>3.6</v>
      </c>
      <c r="F10" s="115">
        <f>AVERAGE(F13:F27)</f>
        <v>4.0897933890974125E-2</v>
      </c>
      <c r="G10" s="124">
        <f t="shared" ref="G10:V10" si="66">AVERAGE(G13:G27)</f>
        <v>10.666666666666666</v>
      </c>
      <c r="H10" s="124">
        <f t="shared" si="66"/>
        <v>37.586060606060606</v>
      </c>
      <c r="I10" s="124">
        <f t="shared" si="66"/>
        <v>1.1538461538461537</v>
      </c>
      <c r="J10" s="115">
        <f>AVERAGE(J13:J27)</f>
        <v>9.0909090909090912E-2</v>
      </c>
      <c r="K10" s="144">
        <f>AVERAGE(K13:K27)</f>
        <v>0.69230769230769229</v>
      </c>
      <c r="L10" s="115">
        <f>AVERAGE(L13:L27)</f>
        <v>0.2</v>
      </c>
      <c r="M10" s="124">
        <f t="shared" si="66"/>
        <v>1.9230769230769231</v>
      </c>
      <c r="N10" s="115">
        <f t="shared" si="66"/>
        <v>0.15151515151515149</v>
      </c>
      <c r="O10" s="144">
        <f>AVERAGE(O13:O27)</f>
        <v>0.53846153846153844</v>
      </c>
      <c r="P10" s="115">
        <f t="shared" si="66"/>
        <v>0.15555555555555556</v>
      </c>
      <c r="Q10" s="123">
        <f t="shared" si="66"/>
        <v>0</v>
      </c>
      <c r="R10" s="115">
        <f>AVERAGE(R13:R27)</f>
        <v>0</v>
      </c>
      <c r="S10" s="124">
        <f t="shared" si="66"/>
        <v>0</v>
      </c>
      <c r="T10" s="115">
        <f t="shared" si="66"/>
        <v>0</v>
      </c>
      <c r="U10" s="124">
        <f>AVERAGE(U13:U27)</f>
        <v>0</v>
      </c>
      <c r="V10" s="116">
        <f t="shared" si="66"/>
        <v>0</v>
      </c>
      <c r="W10" s="113"/>
      <c r="X10" s="114">
        <v>3</v>
      </c>
      <c r="Y10" s="123"/>
      <c r="Z10" s="115"/>
      <c r="AA10" s="115">
        <f>+COUNTIFS($Z$13:$Z$27,$X$8,AA$13:AA$27,$X10)/$AA$5</f>
        <v>0</v>
      </c>
      <c r="AB10" s="115">
        <f>+COUNTIFS($Z$13:$Z$27,$X$8,AB$13:AB$27,$X10)/$AA$8</f>
        <v>1</v>
      </c>
      <c r="AC10" s="115">
        <f t="shared" ref="AC10:AG10" si="67">+COUNTIFS($Z$13:$Z$27,$X$8,AC$13:AC$27,$X10)/$AA$8</f>
        <v>0</v>
      </c>
      <c r="AD10" s="115">
        <f t="shared" si="67"/>
        <v>0</v>
      </c>
      <c r="AE10" s="115">
        <f t="shared" si="67"/>
        <v>1</v>
      </c>
      <c r="AF10" s="115">
        <f t="shared" si="67"/>
        <v>0</v>
      </c>
      <c r="AG10" s="115">
        <f t="shared" si="67"/>
        <v>0</v>
      </c>
      <c r="AH10" s="113"/>
      <c r="AI10" s="118"/>
      <c r="AJ10" s="65" t="s">
        <v>167</v>
      </c>
      <c r="AK10" s="119">
        <f>AVERAGE(AK13:AK27)</f>
        <v>2.9090909090909092</v>
      </c>
      <c r="AL10" s="119">
        <f>AVERAGE(AL13:AL27)</f>
        <v>3.3333333333333335</v>
      </c>
      <c r="AM10" s="119">
        <f>AVERAGE(AM13:AM27)</f>
        <v>171.66666666666666</v>
      </c>
      <c r="AN10" s="142">
        <f>AVERAGE(AN13:AN27)</f>
        <v>54.019999999999996</v>
      </c>
      <c r="AO10" s="120">
        <f>AVERAGE(AO13:AO27)</f>
        <v>0.6008772875616063</v>
      </c>
      <c r="AP10" s="65">
        <v>3</v>
      </c>
      <c r="AQ10" s="120">
        <f>+COUNTIF(AQ$13:AQ$27,$AP10)/$AQ$5</f>
        <v>0</v>
      </c>
      <c r="AR10" s="120">
        <f>+COUNTIF(AR$13:AR$27,$AP10)/$AR$5</f>
        <v>0.66666666666666663</v>
      </c>
      <c r="AS10" s="120">
        <f>+COUNTIF(AS$13:AS$27,$AP10)/AS$5</f>
        <v>0</v>
      </c>
      <c r="AT10" s="120">
        <f t="shared" si="47"/>
        <v>0</v>
      </c>
      <c r="AU10" s="120">
        <f t="shared" si="47"/>
        <v>0</v>
      </c>
      <c r="AV10" s="120">
        <f>AVERAGE(AV13:AV27)</f>
        <v>0.52449954434280444</v>
      </c>
      <c r="AW10" s="121">
        <f t="shared" si="47"/>
        <v>0</v>
      </c>
      <c r="AX10" s="117"/>
      <c r="AY10" s="113"/>
      <c r="AZ10" s="122" t="s">
        <v>167</v>
      </c>
      <c r="BA10" s="123">
        <f t="shared" ref="BA10:BF10" si="68">AVERAGE(BA13:BA27)</f>
        <v>8.9333333333333336</v>
      </c>
      <c r="BB10" s="123">
        <f t="shared" si="68"/>
        <v>0</v>
      </c>
      <c r="BC10" s="123">
        <f>AVERAGE(BC13:BC27)</f>
        <v>2.625</v>
      </c>
      <c r="BD10" s="123">
        <f t="shared" si="68"/>
        <v>27.666666666666668</v>
      </c>
      <c r="BE10" s="124">
        <f t="shared" si="68"/>
        <v>8.6944444444444446</v>
      </c>
      <c r="BF10" s="115">
        <f t="shared" si="68"/>
        <v>0.4687149270482604</v>
      </c>
      <c r="BG10" s="125">
        <v>3</v>
      </c>
      <c r="BH10" s="115">
        <f>+COUNTIF(BH$13:BH$27,$BG10)/BH$5</f>
        <v>0</v>
      </c>
      <c r="BI10" s="115">
        <f t="shared" si="49"/>
        <v>0.55555555555555558</v>
      </c>
      <c r="BJ10" s="115">
        <f t="shared" si="49"/>
        <v>0.6</v>
      </c>
      <c r="BK10" s="115">
        <f t="shared" si="49"/>
        <v>0.3</v>
      </c>
      <c r="BL10" s="115">
        <f t="shared" si="49"/>
        <v>0</v>
      </c>
      <c r="BM10" s="115">
        <f t="shared" si="49"/>
        <v>0</v>
      </c>
      <c r="BN10" s="124">
        <f>AVERAGE(BN13:BN27)</f>
        <v>1.1478888888888878</v>
      </c>
      <c r="BO10" s="115">
        <f t="shared" si="49"/>
        <v>0.1</v>
      </c>
      <c r="BP10" s="116">
        <f t="shared" si="49"/>
        <v>0.125</v>
      </c>
      <c r="BQ10" s="113"/>
      <c r="BR10" s="113"/>
      <c r="BS10" s="126" t="s">
        <v>167</v>
      </c>
      <c r="BT10" s="119">
        <f t="shared" ref="BT10:BY10" si="69">AVERAGE(BT13:BT27)</f>
        <v>1.8571428571428572</v>
      </c>
      <c r="BU10" s="272">
        <f t="shared" si="69"/>
        <v>0</v>
      </c>
      <c r="BV10" s="142">
        <f t="shared" si="69"/>
        <v>0.84615384615384615</v>
      </c>
      <c r="BW10" s="119">
        <f t="shared" si="69"/>
        <v>2.5</v>
      </c>
      <c r="BX10" s="119">
        <f t="shared" si="69"/>
        <v>0.66666666666666663</v>
      </c>
      <c r="BY10" s="120">
        <f t="shared" si="69"/>
        <v>0.33333333333333331</v>
      </c>
      <c r="BZ10" s="65">
        <v>3</v>
      </c>
      <c r="CA10" s="120">
        <f t="shared" si="51"/>
        <v>0</v>
      </c>
      <c r="CB10" s="120">
        <f t="shared" si="51"/>
        <v>0.66666666666666663</v>
      </c>
      <c r="CC10" s="120">
        <f t="shared" si="51"/>
        <v>0.83333333333333337</v>
      </c>
      <c r="CD10" s="120">
        <f t="shared" si="51"/>
        <v>0</v>
      </c>
      <c r="CE10" s="120">
        <f t="shared" si="51"/>
        <v>0</v>
      </c>
      <c r="CF10" s="121">
        <f t="shared" si="51"/>
        <v>0</v>
      </c>
      <c r="CG10" s="117"/>
      <c r="CH10" s="117"/>
      <c r="CI10" s="126">
        <v>3</v>
      </c>
      <c r="CJ10" s="120">
        <f t="shared" si="60"/>
        <v>1</v>
      </c>
      <c r="CK10" s="120">
        <f t="shared" si="60"/>
        <v>0</v>
      </c>
      <c r="CL10" s="119" t="s">
        <v>167</v>
      </c>
      <c r="CM10" s="119">
        <f>AVERAGE(CM13:CM27)</f>
        <v>2986.3195057369812</v>
      </c>
      <c r="CN10" s="119">
        <f>AVERAGE(CN13:CN27)</f>
        <v>5</v>
      </c>
      <c r="CO10" s="119">
        <f>AVERAGE(CO13:CO27)</f>
        <v>98.6</v>
      </c>
      <c r="CP10" s="121">
        <f>AVERAGE(CP13:CP27)</f>
        <v>0.6610687022900763</v>
      </c>
      <c r="CQ10" s="117"/>
      <c r="CR10" s="117"/>
      <c r="CS10" s="127">
        <v>3</v>
      </c>
      <c r="CT10" s="120">
        <f>+COUNTIF(CT$13:CT$27,$CS10)/CT$5</f>
        <v>6.6666666666666666E-2</v>
      </c>
      <c r="CU10" s="120">
        <f t="shared" si="52"/>
        <v>1</v>
      </c>
      <c r="CV10" s="120">
        <f t="shared" si="52"/>
        <v>0.7857142857142857</v>
      </c>
      <c r="CW10" s="120">
        <f t="shared" si="52"/>
        <v>0.6</v>
      </c>
      <c r="CX10" s="120">
        <f t="shared" si="52"/>
        <v>6.6666666666666666E-2</v>
      </c>
      <c r="CY10" s="120">
        <f t="shared" si="52"/>
        <v>0</v>
      </c>
      <c r="CZ10" s="120">
        <f t="shared" si="52"/>
        <v>0</v>
      </c>
      <c r="DA10" s="120">
        <f t="shared" si="52"/>
        <v>0.8</v>
      </c>
      <c r="DB10" s="120">
        <f t="shared" si="52"/>
        <v>0</v>
      </c>
      <c r="DC10" s="120">
        <f t="shared" si="52"/>
        <v>0.13333333333333333</v>
      </c>
      <c r="DD10" s="120">
        <f t="shared" si="52"/>
        <v>0</v>
      </c>
      <c r="DE10" s="120">
        <f t="shared" si="52"/>
        <v>1</v>
      </c>
      <c r="DF10" s="120">
        <f t="shared" si="52"/>
        <v>0</v>
      </c>
      <c r="DG10" s="120">
        <f t="shared" si="52"/>
        <v>0</v>
      </c>
      <c r="DH10" s="120">
        <f t="shared" si="52"/>
        <v>0.8</v>
      </c>
      <c r="DI10" s="120">
        <f t="shared" si="52"/>
        <v>0.26666666666666666</v>
      </c>
      <c r="DJ10" s="120">
        <f t="shared" si="52"/>
        <v>0.46666666666666667</v>
      </c>
      <c r="DK10" s="117"/>
      <c r="DL10" s="128"/>
      <c r="DM10" s="129">
        <v>3</v>
      </c>
      <c r="DN10" s="130">
        <f t="shared" si="61"/>
        <v>0</v>
      </c>
      <c r="DO10" s="130">
        <f t="shared" si="61"/>
        <v>0</v>
      </c>
      <c r="DP10" s="130">
        <f>+COUNTIF(DP$13:DP$27,$DM$10)/15</f>
        <v>0</v>
      </c>
      <c r="DQ10" s="130">
        <f>+COUNTIF(DQ$13:DQ$27,$DM$10)/15</f>
        <v>0</v>
      </c>
      <c r="DR10" s="130">
        <f>+COUNTIF(DR$13:DR$27,$DM$10)/15</f>
        <v>0</v>
      </c>
      <c r="DS10" s="131" t="s">
        <v>167</v>
      </c>
      <c r="DT10" s="132">
        <f t="shared" ref="DT10:DY10" si="70">AVERAGE(DT13:DT27)</f>
        <v>78.357142857142861</v>
      </c>
      <c r="DU10" s="130">
        <f t="shared" si="70"/>
        <v>0.77453864080041479</v>
      </c>
      <c r="DV10" s="132" t="e">
        <f t="shared" si="70"/>
        <v>#DIV/0!</v>
      </c>
      <c r="DW10" s="132" t="e">
        <f t="shared" si="70"/>
        <v>#DIV/0!</v>
      </c>
      <c r="DX10" s="359" t="e">
        <f t="shared" si="70"/>
        <v>#DIV/0!</v>
      </c>
      <c r="DY10" s="133" t="e">
        <f t="shared" si="70"/>
        <v>#DIV/0!</v>
      </c>
      <c r="DZ10" s="134"/>
      <c r="EA10" s="113"/>
      <c r="EB10" s="143" t="s">
        <v>167</v>
      </c>
      <c r="EC10" s="142">
        <f>AVERAGE(EC13:EC27)</f>
        <v>0</v>
      </c>
      <c r="ED10" s="142">
        <f>AVERAGE(ED13:ED27)</f>
        <v>0</v>
      </c>
      <c r="EE10" s="142">
        <f>AVERAGE(EE13:EE27)</f>
        <v>0</v>
      </c>
      <c r="EF10" s="113" t="s">
        <v>166</v>
      </c>
      <c r="EG10" s="113"/>
      <c r="EH10" s="127" t="s">
        <v>167</v>
      </c>
      <c r="EI10" s="137">
        <f>AVERAGE(EI13:EI27)</f>
        <v>85.31</v>
      </c>
      <c r="EJ10" s="137">
        <f t="shared" ref="EJ10:EV10" si="71">AVERAGE(EJ13:EJ27)</f>
        <v>82.77833333333335</v>
      </c>
      <c r="EK10" s="138">
        <f>AVERAGE(EK13:EK27)</f>
        <v>0.9991553815105777</v>
      </c>
      <c r="EL10" s="137">
        <f t="shared" si="71"/>
        <v>87.412500000000009</v>
      </c>
      <c r="EM10" s="138">
        <f>AVERAGE(EM13:EM27)</f>
        <v>0.90606297788245982</v>
      </c>
      <c r="EN10" s="137" t="e">
        <f>AVERAGE(EN13:EN27)</f>
        <v>#DIV/0!</v>
      </c>
      <c r="EO10" s="137" t="e">
        <f t="shared" si="71"/>
        <v>#DIV/0!</v>
      </c>
      <c r="EP10" s="137" t="e">
        <f t="shared" si="71"/>
        <v>#DIV/0!</v>
      </c>
      <c r="EQ10" s="137" t="e">
        <f t="shared" si="71"/>
        <v>#DIV/0!</v>
      </c>
      <c r="ER10" s="137" t="e">
        <f t="shared" si="71"/>
        <v>#DIV/0!</v>
      </c>
      <c r="ES10" s="137" t="e">
        <f t="shared" si="71"/>
        <v>#DIV/0!</v>
      </c>
      <c r="ET10" s="137" t="e">
        <f t="shared" si="71"/>
        <v>#DIV/0!</v>
      </c>
      <c r="EU10" s="137" t="e">
        <f t="shared" si="71"/>
        <v>#DIV/0!</v>
      </c>
      <c r="EV10" s="137" t="e">
        <f t="shared" si="71"/>
        <v>#DIV/0!</v>
      </c>
      <c r="EW10" s="139" t="e">
        <f>AVERAGE(EW13:EW27)</f>
        <v>#DIV/0!</v>
      </c>
      <c r="EX10" s="284">
        <f>AVERAGE(EX13:EX27)</f>
        <v>0</v>
      </c>
      <c r="EY10" s="284" t="e">
        <f>AVERAGE(EY13:EY27)</f>
        <v>#DIV/0!</v>
      </c>
      <c r="EZ10" s="113"/>
      <c r="FA10" s="127" t="s">
        <v>167</v>
      </c>
      <c r="FB10" s="119">
        <f>AVERAGE(FB13:FB27)</f>
        <v>92.13333333333334</v>
      </c>
      <c r="FC10" s="119">
        <f t="shared" ref="FC10:FJ10" si="72">AVERAGE(FB13:FB27)</f>
        <v>92.13333333333334</v>
      </c>
      <c r="FD10" s="119">
        <f t="shared" si="72"/>
        <v>255.58333333333334</v>
      </c>
      <c r="FE10" s="119">
        <f t="shared" si="72"/>
        <v>0.97096199999999988</v>
      </c>
      <c r="FF10" s="119">
        <f t="shared" si="72"/>
        <v>253.90942233333331</v>
      </c>
      <c r="FG10" s="119">
        <f t="shared" si="72"/>
        <v>94.333333333333329</v>
      </c>
      <c r="FH10" s="119">
        <f t="shared" si="72"/>
        <v>295.98866666666669</v>
      </c>
      <c r="FI10" s="119">
        <f t="shared" si="72"/>
        <v>3.3068660658262163</v>
      </c>
      <c r="FJ10" s="119">
        <f t="shared" si="72"/>
        <v>64.378</v>
      </c>
      <c r="FK10" s="113"/>
      <c r="FL10" s="122" t="s">
        <v>167</v>
      </c>
      <c r="FM10" s="388">
        <f>AVERAGE(FM13:FM27)</f>
        <v>0.8</v>
      </c>
      <c r="FN10" s="388">
        <f t="shared" ref="FN10:FQ10" si="73">AVERAGE(FN13:FN27)</f>
        <v>2.1428571428571428</v>
      </c>
      <c r="FO10" s="388">
        <f t="shared" si="73"/>
        <v>0.6428571428571429</v>
      </c>
      <c r="FP10" s="388">
        <f t="shared" si="73"/>
        <v>6.6666666666666666E-2</v>
      </c>
      <c r="FQ10" s="388">
        <f t="shared" si="73"/>
        <v>1.2</v>
      </c>
    </row>
    <row r="11" spans="1:173" s="141" customFormat="1" ht="22.35" customHeight="1" thickBot="1" x14ac:dyDescent="0.3">
      <c r="A11" s="113"/>
      <c r="B11" s="146" t="s">
        <v>168</v>
      </c>
      <c r="C11" s="147">
        <f t="shared" ref="C11:I11" si="74">MAX(C13:C27)</f>
        <v>109</v>
      </c>
      <c r="D11" s="147">
        <f t="shared" si="74"/>
        <v>220</v>
      </c>
      <c r="E11" s="147">
        <f t="shared" si="74"/>
        <v>19</v>
      </c>
      <c r="F11" s="148">
        <f t="shared" si="74"/>
        <v>0.15702479338842976</v>
      </c>
      <c r="G11" s="147">
        <f t="shared" si="74"/>
        <v>11</v>
      </c>
      <c r="H11" s="147">
        <f t="shared" si="74"/>
        <v>45</v>
      </c>
      <c r="I11" s="147">
        <f t="shared" si="74"/>
        <v>5</v>
      </c>
      <c r="J11" s="148">
        <f t="shared" ref="J11:V11" si="75">MAX(J13:J27)</f>
        <v>0.45454545454545453</v>
      </c>
      <c r="K11" s="147">
        <f t="shared" si="75"/>
        <v>3</v>
      </c>
      <c r="L11" s="148">
        <f t="shared" si="75"/>
        <v>1</v>
      </c>
      <c r="M11" s="147">
        <f t="shared" si="75"/>
        <v>11</v>
      </c>
      <c r="N11" s="148">
        <f t="shared" si="75"/>
        <v>1</v>
      </c>
      <c r="O11" s="147">
        <f t="shared" si="75"/>
        <v>3</v>
      </c>
      <c r="P11" s="148">
        <f t="shared" si="75"/>
        <v>1</v>
      </c>
      <c r="Q11" s="147">
        <f t="shared" si="75"/>
        <v>0</v>
      </c>
      <c r="R11" s="148">
        <f t="shared" si="75"/>
        <v>0</v>
      </c>
      <c r="S11" s="147">
        <f t="shared" si="75"/>
        <v>0</v>
      </c>
      <c r="T11" s="148">
        <f t="shared" si="75"/>
        <v>0</v>
      </c>
      <c r="U11" s="149">
        <f t="shared" si="75"/>
        <v>0</v>
      </c>
      <c r="V11" s="150">
        <f t="shared" si="75"/>
        <v>0</v>
      </c>
      <c r="W11" s="113"/>
      <c r="X11" s="146">
        <v>4</v>
      </c>
      <c r="Y11" s="147"/>
      <c r="Z11" s="148"/>
      <c r="AA11" s="151"/>
      <c r="AB11" s="147"/>
      <c r="AC11" s="147"/>
      <c r="AD11" s="147"/>
      <c r="AE11" s="147"/>
      <c r="AF11" s="147"/>
      <c r="AG11" s="147"/>
      <c r="AH11" s="113"/>
      <c r="AI11" s="153"/>
      <c r="AJ11" s="154" t="s">
        <v>168</v>
      </c>
      <c r="AK11" s="155">
        <f>MAX(AK13:AK27)</f>
        <v>6</v>
      </c>
      <c r="AL11" s="155">
        <f>MAX(AL13:AL27)</f>
        <v>6</v>
      </c>
      <c r="AM11" s="155">
        <f>MAX(AM13:AM27)</f>
        <v>440</v>
      </c>
      <c r="AN11" s="156">
        <f>MAX(AN13:AN27)</f>
        <v>146.66666666666666</v>
      </c>
      <c r="AO11" s="157">
        <f>MAX(AO13:AO27)</f>
        <v>1</v>
      </c>
      <c r="AP11" s="154">
        <v>4</v>
      </c>
      <c r="AQ11" s="157">
        <f>+COUNTIF(AQ$13:AQ$27,$AP11)/$AQ$5</f>
        <v>0.8666666666666667</v>
      </c>
      <c r="AR11" s="157">
        <f>+COUNTIF(AR$13:AR$27,$AP11)/$AR$5</f>
        <v>6.6666666666666666E-2</v>
      </c>
      <c r="AS11" s="157">
        <f>+COUNTIF(AS$13:AS$27,$AP11)/AS$5</f>
        <v>0</v>
      </c>
      <c r="AT11" s="157">
        <f t="shared" si="47"/>
        <v>0</v>
      </c>
      <c r="AU11" s="157">
        <f t="shared" si="47"/>
        <v>0</v>
      </c>
      <c r="AV11" s="157">
        <f>MAX(AV13:AV27)</f>
        <v>1</v>
      </c>
      <c r="AW11" s="158">
        <f t="shared" si="47"/>
        <v>0</v>
      </c>
      <c r="AX11" s="117"/>
      <c r="AY11" s="113"/>
      <c r="AZ11" s="159" t="s">
        <v>168</v>
      </c>
      <c r="BA11" s="147">
        <f>MAX(BA13:BA27)</f>
        <v>11</v>
      </c>
      <c r="BB11" s="147">
        <f>MAX(BB13:BB27)</f>
        <v>0</v>
      </c>
      <c r="BC11" s="147">
        <f>MAX(BC13:BC27)</f>
        <v>7</v>
      </c>
      <c r="BD11" s="147">
        <f>MAX(BD13:BD27)</f>
        <v>63</v>
      </c>
      <c r="BE11" s="149">
        <f>MAX(BE13:BE27)</f>
        <v>9</v>
      </c>
      <c r="BF11" s="147"/>
      <c r="BG11" s="160">
        <v>4</v>
      </c>
      <c r="BH11" s="148">
        <f>+COUNTIF(BH$13:BH$27,$BG11)/BH$5</f>
        <v>0</v>
      </c>
      <c r="BI11" s="148">
        <f t="shared" si="49"/>
        <v>0.1111111111111111</v>
      </c>
      <c r="BJ11" s="148">
        <f t="shared" si="49"/>
        <v>0.2</v>
      </c>
      <c r="BK11" s="148">
        <f t="shared" si="49"/>
        <v>0</v>
      </c>
      <c r="BL11" s="148">
        <f t="shared" si="49"/>
        <v>0</v>
      </c>
      <c r="BM11" s="148">
        <f t="shared" si="49"/>
        <v>0</v>
      </c>
      <c r="BN11" s="147">
        <f>MAX(BN13:BN27)</f>
        <v>6</v>
      </c>
      <c r="BO11" s="148">
        <f t="shared" si="49"/>
        <v>0</v>
      </c>
      <c r="BP11" s="150">
        <f t="shared" si="49"/>
        <v>0.125</v>
      </c>
      <c r="BQ11" s="113"/>
      <c r="BR11" s="113"/>
      <c r="BS11" s="161" t="s">
        <v>168</v>
      </c>
      <c r="BT11" s="155">
        <f t="shared" ref="BT11:BY11" si="76">MAX(BT13:BT27)</f>
        <v>2</v>
      </c>
      <c r="BU11" s="273">
        <f t="shared" si="76"/>
        <v>0</v>
      </c>
      <c r="BV11" s="155">
        <f t="shared" si="76"/>
        <v>3</v>
      </c>
      <c r="BW11" s="155">
        <f t="shared" si="76"/>
        <v>6</v>
      </c>
      <c r="BX11" s="155">
        <f t="shared" si="76"/>
        <v>2</v>
      </c>
      <c r="BY11" s="157">
        <f t="shared" si="76"/>
        <v>1</v>
      </c>
      <c r="BZ11" s="154">
        <v>4</v>
      </c>
      <c r="CA11" s="157">
        <f t="shared" si="51"/>
        <v>0</v>
      </c>
      <c r="CB11" s="157">
        <f t="shared" si="51"/>
        <v>0.16666666666666666</v>
      </c>
      <c r="CC11" s="157">
        <f t="shared" si="51"/>
        <v>0</v>
      </c>
      <c r="CD11" s="157">
        <f t="shared" si="51"/>
        <v>0</v>
      </c>
      <c r="CE11" s="157">
        <f t="shared" si="51"/>
        <v>0</v>
      </c>
      <c r="CF11" s="158">
        <f t="shared" si="51"/>
        <v>0</v>
      </c>
      <c r="CG11" s="162"/>
      <c r="CH11" s="117"/>
      <c r="CI11" s="161">
        <v>4</v>
      </c>
      <c r="CJ11" s="157">
        <f t="shared" si="60"/>
        <v>0</v>
      </c>
      <c r="CK11" s="157">
        <f t="shared" si="60"/>
        <v>0</v>
      </c>
      <c r="CL11" s="155" t="s">
        <v>168</v>
      </c>
      <c r="CM11" s="155">
        <f>MAX(CM13:CM27)</f>
        <v>5000</v>
      </c>
      <c r="CN11" s="155">
        <f>MAX(CN13:CN27)</f>
        <v>5</v>
      </c>
      <c r="CO11" s="155">
        <f>MAX(CO13:CO27)</f>
        <v>187</v>
      </c>
      <c r="CP11" s="158">
        <f>MAX(CP13:CP27)</f>
        <v>1</v>
      </c>
      <c r="CQ11" s="113"/>
      <c r="CR11" s="163"/>
      <c r="CS11" s="164">
        <v>4</v>
      </c>
      <c r="CT11" s="157"/>
      <c r="CU11" s="157"/>
      <c r="CV11" s="157"/>
      <c r="CW11" s="157"/>
      <c r="CX11" s="157"/>
      <c r="CY11" s="157"/>
      <c r="CZ11" s="157"/>
      <c r="DA11" s="157"/>
      <c r="DB11" s="157"/>
      <c r="DC11" s="157"/>
      <c r="DD11" s="157"/>
      <c r="DE11" s="157"/>
      <c r="DF11" s="157"/>
      <c r="DG11" s="157"/>
      <c r="DH11" s="157"/>
      <c r="DI11" s="157"/>
      <c r="DJ11" s="157"/>
      <c r="DK11" s="113"/>
      <c r="DL11" s="128"/>
      <c r="DM11" s="166">
        <v>4</v>
      </c>
      <c r="DN11" s="167">
        <f t="shared" si="61"/>
        <v>0</v>
      </c>
      <c r="DO11" s="167">
        <f t="shared" si="61"/>
        <v>0</v>
      </c>
      <c r="DP11" s="167">
        <f>+COUNTIF(DP$13:DP$27,$DM$11)/15</f>
        <v>0</v>
      </c>
      <c r="DQ11" s="167">
        <f>+COUNTIF(DQ$13:DQ$27,$DM$11)/15</f>
        <v>0</v>
      </c>
      <c r="DR11" s="167"/>
      <c r="DS11" s="168" t="s">
        <v>168</v>
      </c>
      <c r="DT11" s="169">
        <f>MAX(DT13:DT27)</f>
        <v>190</v>
      </c>
      <c r="DU11" s="169"/>
      <c r="DV11" s="169">
        <f>MAX(DV13:DV27)</f>
        <v>0</v>
      </c>
      <c r="DW11" s="169">
        <f>MAX(DW13:DW27)</f>
        <v>0</v>
      </c>
      <c r="DX11" s="360">
        <f>MAX(DX13:DX27)</f>
        <v>0</v>
      </c>
      <c r="DY11" s="170">
        <f>MAX(DY13:DY27)</f>
        <v>0</v>
      </c>
      <c r="DZ11" s="134"/>
      <c r="EA11" s="113"/>
      <c r="EB11" s="171" t="s">
        <v>168</v>
      </c>
      <c r="EC11" s="155">
        <f>MAX(EC13:EC27)</f>
        <v>0</v>
      </c>
      <c r="ED11" s="155">
        <f>MAX(ED13:ED27)</f>
        <v>0</v>
      </c>
      <c r="EE11" s="155">
        <f>MAX(EE13:EE27)</f>
        <v>0</v>
      </c>
      <c r="EF11" s="113"/>
      <c r="EG11" s="113"/>
      <c r="EH11" s="164" t="s">
        <v>168</v>
      </c>
      <c r="EI11" s="172">
        <f>MAX(EI13:EI27)</f>
        <v>160</v>
      </c>
      <c r="EJ11" s="172">
        <f t="shared" ref="EJ11:EV11" si="77">MAX(EJ13:EJ27)</f>
        <v>152</v>
      </c>
      <c r="EK11" s="173">
        <f>MAX(EK13:EK27)</f>
        <v>1.3591836734693876</v>
      </c>
      <c r="EL11" s="172">
        <f t="shared" si="77"/>
        <v>152</v>
      </c>
      <c r="EM11" s="173">
        <f>MAX(EM13:EM27)</f>
        <v>1.0857142857142856</v>
      </c>
      <c r="EN11" s="172">
        <f>MAX(EN13:EN27)</f>
        <v>0</v>
      </c>
      <c r="EO11" s="172">
        <f t="shared" si="77"/>
        <v>0</v>
      </c>
      <c r="EP11" s="172">
        <f t="shared" si="77"/>
        <v>0</v>
      </c>
      <c r="EQ11" s="172">
        <f t="shared" si="77"/>
        <v>0</v>
      </c>
      <c r="ER11" s="172">
        <f t="shared" si="77"/>
        <v>0</v>
      </c>
      <c r="ES11" s="172">
        <f t="shared" si="77"/>
        <v>0</v>
      </c>
      <c r="ET11" s="172">
        <f t="shared" si="77"/>
        <v>0</v>
      </c>
      <c r="EU11" s="172">
        <f t="shared" si="77"/>
        <v>0</v>
      </c>
      <c r="EV11" s="172">
        <f t="shared" si="77"/>
        <v>0</v>
      </c>
      <c r="EW11" s="174">
        <f>MAX(EW13:EW27)</f>
        <v>0</v>
      </c>
      <c r="EX11" s="285">
        <f>MAX(EX13:EX27)</f>
        <v>0</v>
      </c>
      <c r="EY11" s="285" t="e">
        <f>MAX(EY13:EY27)</f>
        <v>#DIV/0!</v>
      </c>
      <c r="EZ11" s="113"/>
      <c r="FA11" s="164" t="s">
        <v>168</v>
      </c>
      <c r="FB11" s="155">
        <f>MAX(FB13:FB27)</f>
        <v>220</v>
      </c>
      <c r="FC11" s="155">
        <f t="shared" ref="FC11:FJ11" si="78">MAX(FB13:FB27)</f>
        <v>220</v>
      </c>
      <c r="FD11" s="155">
        <f t="shared" si="78"/>
        <v>546</v>
      </c>
      <c r="FE11" s="155">
        <f t="shared" si="78"/>
        <v>1.173</v>
      </c>
      <c r="FF11" s="155">
        <f t="shared" si="78"/>
        <v>586.94999999999993</v>
      </c>
      <c r="FG11" s="155">
        <f t="shared" si="78"/>
        <v>220</v>
      </c>
      <c r="FH11" s="155">
        <f t="shared" si="78"/>
        <v>660.27</v>
      </c>
      <c r="FI11" s="155">
        <f t="shared" si="78"/>
        <v>5.1990291262135919</v>
      </c>
      <c r="FJ11" s="155">
        <f t="shared" si="78"/>
        <v>950</v>
      </c>
      <c r="FK11" s="113"/>
      <c r="FL11" s="159" t="s">
        <v>168</v>
      </c>
      <c r="FM11" s="147">
        <f>MAX(FL13:FL27)</f>
        <v>0</v>
      </c>
      <c r="FN11" s="147">
        <f t="shared" ref="FN11:FQ11" si="79">MAX(FM13:FM27)</f>
        <v>1</v>
      </c>
      <c r="FO11" s="147">
        <f t="shared" si="79"/>
        <v>10</v>
      </c>
      <c r="FP11" s="147">
        <f t="shared" si="79"/>
        <v>2</v>
      </c>
      <c r="FQ11" s="147">
        <f t="shared" si="79"/>
        <v>1</v>
      </c>
    </row>
    <row r="12" spans="1:173" s="76" customFormat="1" ht="22.35" customHeight="1" thickBot="1" x14ac:dyDescent="0.3">
      <c r="A12" s="11"/>
      <c r="B12" s="727" t="s">
        <v>169</v>
      </c>
      <c r="C12" s="727"/>
      <c r="D12" s="727"/>
      <c r="E12" s="727"/>
      <c r="F12" s="727"/>
      <c r="G12" s="727"/>
      <c r="H12" s="727"/>
      <c r="I12" s="727"/>
      <c r="J12" s="727"/>
      <c r="K12" s="727"/>
      <c r="L12" s="727"/>
      <c r="M12" s="727"/>
      <c r="N12" s="727"/>
      <c r="O12" s="727"/>
      <c r="P12" s="727"/>
      <c r="Q12" s="727"/>
      <c r="R12" s="727"/>
      <c r="S12" s="727"/>
      <c r="T12" s="727"/>
      <c r="U12" s="727"/>
      <c r="V12" s="727"/>
      <c r="W12" s="11"/>
      <c r="X12" s="11"/>
      <c r="Y12" s="11"/>
      <c r="Z12" s="56"/>
      <c r="AA12" s="56"/>
      <c r="AB12" s="56"/>
      <c r="AC12" s="56"/>
      <c r="AD12" s="56"/>
      <c r="AE12" s="56"/>
      <c r="AF12" s="56"/>
      <c r="AG12" s="56"/>
      <c r="AH12" s="11"/>
      <c r="AI12" s="11"/>
      <c r="AJ12" s="11"/>
      <c r="AK12" s="56"/>
      <c r="AL12" s="56"/>
      <c r="AM12" s="56"/>
      <c r="AN12" s="56"/>
      <c r="AO12" s="56"/>
      <c r="AP12" s="56"/>
      <c r="AQ12" s="56"/>
      <c r="AR12" s="56"/>
      <c r="AS12" s="56"/>
      <c r="AT12" s="56"/>
      <c r="AU12" s="56"/>
      <c r="AV12" s="56"/>
      <c r="AW12" s="56"/>
      <c r="AX12" s="11"/>
      <c r="AY12" s="11"/>
      <c r="AZ12" s="11"/>
      <c r="BA12" s="56"/>
      <c r="BB12" s="512"/>
      <c r="BC12" s="56"/>
      <c r="BD12" s="56"/>
      <c r="BE12" s="56"/>
      <c r="BF12" s="56"/>
      <c r="BG12" s="56"/>
      <c r="BH12" s="56"/>
      <c r="BI12" s="56"/>
      <c r="BJ12" s="56"/>
      <c r="BK12" s="56"/>
      <c r="BL12" s="56"/>
      <c r="BM12" s="56"/>
      <c r="BN12" s="56"/>
      <c r="BO12" s="56"/>
      <c r="BP12" s="56"/>
      <c r="BQ12" s="11"/>
      <c r="BR12" s="11"/>
      <c r="BS12" s="11"/>
      <c r="BT12" s="175"/>
      <c r="BU12" s="274"/>
      <c r="BV12" s="175"/>
      <c r="BW12" s="175" t="s">
        <v>169</v>
      </c>
      <c r="BX12" s="175"/>
      <c r="BY12" s="175"/>
      <c r="BZ12" s="175"/>
      <c r="CA12" s="175"/>
      <c r="CB12" s="175"/>
      <c r="CC12" s="175"/>
      <c r="CD12" s="175"/>
      <c r="CE12" s="175"/>
      <c r="CF12" s="175"/>
      <c r="CG12" s="11"/>
      <c r="CH12" s="11"/>
      <c r="CI12" s="56"/>
      <c r="CJ12" s="56"/>
      <c r="CK12" s="56"/>
      <c r="CL12" s="56"/>
      <c r="CM12" s="56"/>
      <c r="CN12" s="56"/>
      <c r="CO12" s="56"/>
      <c r="CP12" s="176"/>
      <c r="CQ12" s="11"/>
      <c r="CR12" s="177"/>
      <c r="CS12" s="177"/>
      <c r="CT12" s="177"/>
      <c r="CU12" s="177"/>
      <c r="CV12" s="177"/>
      <c r="CW12" s="177"/>
      <c r="CX12" s="177"/>
      <c r="CY12" s="177"/>
      <c r="CZ12" s="177"/>
      <c r="DA12" s="177"/>
      <c r="DB12" s="177"/>
      <c r="DC12" s="177"/>
      <c r="DD12" s="177"/>
      <c r="DE12" s="177"/>
      <c r="DF12" s="177"/>
      <c r="DG12" s="177"/>
      <c r="DH12" s="177"/>
      <c r="DI12" s="177"/>
      <c r="DJ12" s="177"/>
      <c r="DK12" s="11"/>
      <c r="DL12" s="11"/>
      <c r="DM12" s="11"/>
      <c r="DN12" s="56"/>
      <c r="DO12" s="56"/>
      <c r="DP12" s="56"/>
      <c r="DQ12" s="204"/>
      <c r="DR12" s="56"/>
      <c r="DS12" s="56"/>
      <c r="DT12" s="56"/>
      <c r="DU12" s="56"/>
      <c r="DV12" s="56"/>
      <c r="DW12" s="56"/>
      <c r="DX12" s="286"/>
      <c r="DY12" s="56"/>
      <c r="DZ12" s="11"/>
      <c r="EA12" s="11"/>
      <c r="EB12" s="11"/>
      <c r="EC12" s="178"/>
      <c r="ED12" s="178"/>
      <c r="EE12" s="178"/>
      <c r="EF12" s="11"/>
      <c r="EG12" s="56"/>
      <c r="EH12" s="56"/>
      <c r="EI12" s="178"/>
      <c r="EJ12" s="178" t="s">
        <v>169</v>
      </c>
      <c r="EK12" s="178"/>
      <c r="EL12" s="178"/>
      <c r="EM12" s="178"/>
      <c r="EN12" s="178"/>
      <c r="EO12" s="178"/>
      <c r="EP12" s="178"/>
      <c r="EQ12" s="178"/>
      <c r="ER12" s="178"/>
      <c r="ES12" s="178"/>
      <c r="ET12" s="178"/>
      <c r="EU12" s="178"/>
      <c r="EV12" s="178"/>
      <c r="EW12" s="178"/>
      <c r="EX12" s="286"/>
      <c r="EY12" s="287"/>
      <c r="EZ12" s="11"/>
      <c r="FA12" s="177"/>
      <c r="FB12" s="178"/>
      <c r="FC12" s="178" t="s">
        <v>169</v>
      </c>
      <c r="FD12" s="178"/>
      <c r="FE12" s="178"/>
      <c r="FF12" s="178"/>
      <c r="FG12" s="178"/>
      <c r="FH12" s="178"/>
      <c r="FI12" s="178"/>
      <c r="FJ12" s="251"/>
      <c r="FK12" s="11"/>
    </row>
    <row r="13" spans="1:173" s="204" customFormat="1" ht="22.7" customHeight="1" thickBot="1" x14ac:dyDescent="0.3">
      <c r="A13" s="414">
        <v>1</v>
      </c>
      <c r="B13" s="604" t="s">
        <v>683</v>
      </c>
      <c r="C13" s="594"/>
      <c r="D13" s="594">
        <v>30</v>
      </c>
      <c r="E13" s="595">
        <v>1</v>
      </c>
      <c r="F13" s="596">
        <f>E13/D13</f>
        <v>3.3333333333333333E-2</v>
      </c>
      <c r="G13" s="594">
        <v>11</v>
      </c>
      <c r="H13" s="594">
        <v>34</v>
      </c>
      <c r="I13" s="594">
        <v>2</v>
      </c>
      <c r="J13" s="597">
        <f t="shared" ref="J13:J22" si="80">I13/G13</f>
        <v>0.18181818181818182</v>
      </c>
      <c r="K13" s="598">
        <v>1</v>
      </c>
      <c r="L13" s="597">
        <f>+K13/3</f>
        <v>0.33333333333333331</v>
      </c>
      <c r="M13" s="594">
        <v>0</v>
      </c>
      <c r="N13" s="597">
        <f t="shared" ref="N13:N22" si="81">M13/G13</f>
        <v>0</v>
      </c>
      <c r="O13" s="598">
        <v>0</v>
      </c>
      <c r="P13" s="597">
        <f>+O13/3</f>
        <v>0</v>
      </c>
      <c r="Q13" s="594">
        <v>0</v>
      </c>
      <c r="R13" s="597">
        <f t="shared" ref="R13:R22" si="82">+Q13/G13</f>
        <v>0</v>
      </c>
      <c r="S13" s="594">
        <v>0</v>
      </c>
      <c r="T13" s="597">
        <f t="shared" ref="T13:T22" si="83">S13/G13</f>
        <v>0</v>
      </c>
      <c r="U13" s="598">
        <v>0</v>
      </c>
      <c r="V13" s="599">
        <f t="shared" ref="V13:V22" si="84">U13/G13</f>
        <v>0</v>
      </c>
      <c r="W13" s="185">
        <v>1</v>
      </c>
      <c r="X13" s="332" t="str">
        <f>+B13</f>
        <v>SEG01</v>
      </c>
      <c r="Y13" s="186">
        <v>2</v>
      </c>
      <c r="Z13" s="186"/>
      <c r="AA13" s="186"/>
      <c r="AB13" s="186"/>
      <c r="AC13" s="186"/>
      <c r="AD13" s="186"/>
      <c r="AE13" s="186"/>
      <c r="AF13" s="186">
        <v>1</v>
      </c>
      <c r="AG13" s="187">
        <v>1</v>
      </c>
      <c r="AH13" s="188"/>
      <c r="AI13" s="185">
        <v>1</v>
      </c>
      <c r="AJ13" s="332" t="str">
        <f>+X13</f>
        <v>SEG01</v>
      </c>
      <c r="AK13" s="186">
        <v>4</v>
      </c>
      <c r="AL13" s="186">
        <v>4</v>
      </c>
      <c r="AM13" s="396">
        <f>17+22+15+26</f>
        <v>80</v>
      </c>
      <c r="AN13" s="403">
        <f>+AM13/AL13</f>
        <v>20</v>
      </c>
      <c r="AO13" s="404">
        <f t="shared" ref="AO13:AO27" si="85">+AN13/D13</f>
        <v>0.66666666666666663</v>
      </c>
      <c r="AP13" s="333" t="str">
        <f>+AJ13</f>
        <v>SEG01</v>
      </c>
      <c r="AQ13" s="186">
        <v>4</v>
      </c>
      <c r="AR13" s="186">
        <v>3</v>
      </c>
      <c r="AS13" s="186">
        <v>2</v>
      </c>
      <c r="AT13" s="186">
        <v>2</v>
      </c>
      <c r="AU13" s="186">
        <v>1</v>
      </c>
      <c r="AV13" s="191">
        <v>0.17241379310344801</v>
      </c>
      <c r="AW13" s="187"/>
      <c r="AX13" s="188"/>
      <c r="AY13" s="185">
        <v>1</v>
      </c>
      <c r="AZ13" s="332" t="str">
        <f>+AJ13</f>
        <v>SEG01</v>
      </c>
      <c r="BA13" s="186">
        <v>9</v>
      </c>
      <c r="BC13" s="186"/>
      <c r="BD13" s="186"/>
      <c r="BE13" s="403"/>
      <c r="BF13" s="407">
        <f t="shared" ref="BF13:BF21" si="86">BE13/BA13</f>
        <v>0</v>
      </c>
      <c r="BG13" s="334" t="str">
        <f t="shared" ref="BG13:BG22" si="87">+AZ13</f>
        <v>SEG01</v>
      </c>
      <c r="BH13" s="186"/>
      <c r="BI13" s="186"/>
      <c r="BJ13" s="186"/>
      <c r="BK13" s="186"/>
      <c r="BL13" s="186"/>
      <c r="BM13" s="186"/>
      <c r="BN13" s="191"/>
      <c r="BO13" s="186"/>
      <c r="BP13" s="187"/>
      <c r="BQ13" s="188"/>
      <c r="BR13" s="179">
        <v>1</v>
      </c>
      <c r="BS13" s="335" t="str">
        <f>+AZ13</f>
        <v>SEG01</v>
      </c>
      <c r="BT13" s="181">
        <v>2</v>
      </c>
      <c r="BU13" s="252">
        <v>0</v>
      </c>
      <c r="BV13" s="181">
        <v>0</v>
      </c>
      <c r="BW13" s="181" t="s">
        <v>170</v>
      </c>
      <c r="BX13" s="335" t="s">
        <v>170</v>
      </c>
      <c r="BY13" s="399" t="s">
        <v>170</v>
      </c>
      <c r="BZ13" s="335" t="str">
        <f t="shared" ref="BZ13:BZ22" si="88">+BS13</f>
        <v>SEG01</v>
      </c>
      <c r="CA13" s="181">
        <v>1</v>
      </c>
      <c r="CB13" s="181" t="s">
        <v>170</v>
      </c>
      <c r="CC13" s="181" t="s">
        <v>170</v>
      </c>
      <c r="CD13" s="181" t="s">
        <v>170</v>
      </c>
      <c r="CE13" s="181" t="s">
        <v>170</v>
      </c>
      <c r="CF13" s="194" t="s">
        <v>170</v>
      </c>
      <c r="CG13" s="195"/>
      <c r="CH13" s="179">
        <v>1</v>
      </c>
      <c r="CI13" s="181" t="str">
        <f>BS13</f>
        <v>SEG01</v>
      </c>
      <c r="CJ13" s="181">
        <v>3</v>
      </c>
      <c r="CK13" s="181">
        <v>1</v>
      </c>
      <c r="CL13" s="336" t="str">
        <f>+CI13</f>
        <v>SEG01</v>
      </c>
      <c r="CM13" s="181">
        <v>1000</v>
      </c>
      <c r="CN13" s="181"/>
      <c r="CO13" s="181"/>
      <c r="CP13" s="400">
        <f t="shared" ref="CP13:CP27" si="89">CO13/D13</f>
        <v>0</v>
      </c>
      <c r="CQ13" s="196"/>
      <c r="CR13" s="179">
        <v>1</v>
      </c>
      <c r="CS13" s="337" t="str">
        <f>CI13</f>
        <v>SEG01</v>
      </c>
      <c r="CT13" s="186">
        <v>3</v>
      </c>
      <c r="CU13" s="186">
        <v>3</v>
      </c>
      <c r="CV13" s="186">
        <v>3</v>
      </c>
      <c r="CW13" s="186">
        <v>3</v>
      </c>
      <c r="CX13" s="186">
        <v>1</v>
      </c>
      <c r="CY13" s="186">
        <v>1</v>
      </c>
      <c r="CZ13" s="186">
        <v>1</v>
      </c>
      <c r="DA13" s="186">
        <v>3</v>
      </c>
      <c r="DB13" s="186">
        <v>1</v>
      </c>
      <c r="DC13" s="186">
        <v>1</v>
      </c>
      <c r="DD13" s="186">
        <v>1</v>
      </c>
      <c r="DE13" s="186">
        <v>3</v>
      </c>
      <c r="DF13" s="186">
        <v>1</v>
      </c>
      <c r="DG13" s="186">
        <v>1</v>
      </c>
      <c r="DH13" s="186">
        <v>3</v>
      </c>
      <c r="DI13" s="186">
        <v>1</v>
      </c>
      <c r="DJ13" s="187">
        <v>3</v>
      </c>
      <c r="DK13" s="196"/>
      <c r="DL13" s="179">
        <v>1</v>
      </c>
      <c r="DM13" s="337" t="str">
        <f>+CS13</f>
        <v>SEG01</v>
      </c>
      <c r="DN13" s="181">
        <v>1</v>
      </c>
      <c r="DO13" s="181">
        <v>2</v>
      </c>
      <c r="DR13" s="397">
        <v>40303</v>
      </c>
      <c r="DS13" s="337" t="str">
        <f t="shared" ref="DS13:DS22" si="90">+DM13</f>
        <v>SEG01</v>
      </c>
      <c r="DT13" s="181">
        <v>18</v>
      </c>
      <c r="DU13" s="410">
        <f t="shared" ref="DU13:DU27" si="91">DT13/D13</f>
        <v>0.6</v>
      </c>
      <c r="DV13" s="181"/>
      <c r="DW13" s="181"/>
      <c r="DX13" s="203"/>
      <c r="DY13" s="194"/>
      <c r="DZ13" s="188"/>
      <c r="EA13" s="179">
        <v>1</v>
      </c>
      <c r="EB13" s="337" t="str">
        <f>EH13</f>
        <v>SEG01</v>
      </c>
      <c r="EC13" s="212">
        <v>0</v>
      </c>
      <c r="ED13" s="212">
        <v>0</v>
      </c>
      <c r="EE13" s="212">
        <v>0</v>
      </c>
      <c r="EF13" s="188"/>
      <c r="EG13" s="179">
        <v>1</v>
      </c>
      <c r="EH13" s="337" t="str">
        <f>+BS13</f>
        <v>SEG01</v>
      </c>
      <c r="EI13" s="181">
        <v>33.6</v>
      </c>
      <c r="EJ13" s="181">
        <v>35.549999999999997</v>
      </c>
      <c r="EK13" s="409">
        <f>EJ13/EI13</f>
        <v>1.0580357142857142</v>
      </c>
      <c r="EL13" s="181">
        <v>34.299999999999997</v>
      </c>
      <c r="EM13" s="409">
        <f>EL13/EI13</f>
        <v>1.0208333333333333</v>
      </c>
      <c r="EN13" s="200"/>
      <c r="EO13" s="181"/>
      <c r="EP13" s="181"/>
      <c r="EQ13" s="181"/>
      <c r="ER13" s="181"/>
      <c r="ES13" s="181"/>
      <c r="ET13" s="181"/>
      <c r="EU13" s="181"/>
      <c r="EV13" s="181"/>
      <c r="EW13" s="331"/>
      <c r="EX13" s="288">
        <v>0</v>
      </c>
      <c r="EY13" s="412"/>
      <c r="EZ13" s="188"/>
      <c r="FA13" s="338" t="str">
        <f t="shared" ref="FA13:FA22" si="92">EH13</f>
        <v>SEG01</v>
      </c>
      <c r="FB13" s="181">
        <v>29</v>
      </c>
      <c r="FC13" s="181">
        <v>115.5</v>
      </c>
      <c r="FD13" s="181">
        <v>0.80900000000000005</v>
      </c>
      <c r="FE13" s="424">
        <f t="shared" ref="FE13:FE22" si="93">+FC13*FD13</f>
        <v>93.43950000000001</v>
      </c>
      <c r="FF13" s="181">
        <v>29</v>
      </c>
      <c r="FG13" s="181">
        <v>135.69999999999999</v>
      </c>
      <c r="FH13" s="413">
        <f>FG13/FF13</f>
        <v>4.6793103448275861</v>
      </c>
      <c r="FI13" s="181">
        <v>950</v>
      </c>
      <c r="FJ13" s="181">
        <v>129</v>
      </c>
      <c r="FK13" s="179">
        <v>1</v>
      </c>
      <c r="FL13" s="337" t="str">
        <f>FA13</f>
        <v>SEG01</v>
      </c>
      <c r="FM13" s="181">
        <v>1</v>
      </c>
      <c r="FN13" s="203"/>
      <c r="FO13" s="203"/>
      <c r="FP13" s="203">
        <v>1</v>
      </c>
      <c r="FQ13" s="194">
        <v>0</v>
      </c>
    </row>
    <row r="14" spans="1:173" s="204" customFormat="1" ht="22.7" customHeight="1" thickBot="1" x14ac:dyDescent="0.3">
      <c r="A14" s="415">
        <v>2</v>
      </c>
      <c r="B14" s="339" t="s">
        <v>684</v>
      </c>
      <c r="C14" s="212">
        <v>45</v>
      </c>
      <c r="D14" s="212">
        <v>121</v>
      </c>
      <c r="E14" s="601">
        <v>19</v>
      </c>
      <c r="F14" s="602">
        <f t="shared" ref="F14:F22" si="94">E14/D14</f>
        <v>0.15702479338842976</v>
      </c>
      <c r="G14" s="212">
        <v>11</v>
      </c>
      <c r="H14" s="212">
        <v>45</v>
      </c>
      <c r="I14" s="212">
        <v>0</v>
      </c>
      <c r="J14" s="406">
        <f t="shared" si="80"/>
        <v>0</v>
      </c>
      <c r="K14" s="212">
        <v>0</v>
      </c>
      <c r="L14" s="406">
        <f t="shared" ref="L14:L22" si="95">+K14/3</f>
        <v>0</v>
      </c>
      <c r="M14" s="212">
        <v>1</v>
      </c>
      <c r="N14" s="406">
        <f t="shared" si="81"/>
        <v>9.0909090909090912E-2</v>
      </c>
      <c r="O14" s="603">
        <v>0</v>
      </c>
      <c r="P14" s="406">
        <f>+O14/3</f>
        <v>0</v>
      </c>
      <c r="Q14" s="212">
        <v>0</v>
      </c>
      <c r="R14" s="406">
        <f t="shared" si="82"/>
        <v>0</v>
      </c>
      <c r="S14" s="212">
        <v>0</v>
      </c>
      <c r="T14" s="406">
        <f t="shared" si="83"/>
        <v>0</v>
      </c>
      <c r="U14" s="212">
        <v>0</v>
      </c>
      <c r="V14" s="406">
        <f t="shared" si="84"/>
        <v>0</v>
      </c>
      <c r="W14" s="593">
        <v>2</v>
      </c>
      <c r="X14" s="339" t="str">
        <f>+B14</f>
        <v>SEG02</v>
      </c>
      <c r="Y14" s="212">
        <v>2</v>
      </c>
      <c r="Z14" s="212">
        <v>1</v>
      </c>
      <c r="AA14" s="212">
        <v>1</v>
      </c>
      <c r="AB14" s="212">
        <v>3</v>
      </c>
      <c r="AC14" s="212">
        <v>1</v>
      </c>
      <c r="AD14" s="212"/>
      <c r="AE14" s="212">
        <v>3</v>
      </c>
      <c r="AF14" s="212">
        <v>1</v>
      </c>
      <c r="AG14" s="213">
        <v>1</v>
      </c>
      <c r="AH14" s="188"/>
      <c r="AI14" s="211">
        <v>2</v>
      </c>
      <c r="AJ14" s="339" t="str">
        <f t="shared" ref="AJ14:AJ22" si="96">+X14</f>
        <v>SEG02</v>
      </c>
      <c r="AK14" s="212">
        <v>2</v>
      </c>
      <c r="AL14" s="212">
        <v>4</v>
      </c>
      <c r="AM14" s="212">
        <f>30+79+23+52</f>
        <v>184</v>
      </c>
      <c r="AN14" s="405">
        <f>+AM14/AL14</f>
        <v>46</v>
      </c>
      <c r="AO14" s="406">
        <f t="shared" si="85"/>
        <v>0.38016528925619836</v>
      </c>
      <c r="AP14" s="340" t="str">
        <f t="shared" ref="AP14:AP22" si="97">+AJ14</f>
        <v>SEG02</v>
      </c>
      <c r="AQ14" s="212">
        <v>4</v>
      </c>
      <c r="AR14" s="212">
        <v>3</v>
      </c>
      <c r="AS14" s="212">
        <v>1</v>
      </c>
      <c r="AT14" s="212">
        <v>2</v>
      </c>
      <c r="AU14" s="212">
        <v>1</v>
      </c>
      <c r="AV14" s="223">
        <v>0.413223140495868</v>
      </c>
      <c r="AW14" s="213"/>
      <c r="AX14" s="188"/>
      <c r="AY14" s="211">
        <v>2</v>
      </c>
      <c r="AZ14" s="339" t="str">
        <f t="shared" ref="AZ14:AZ22" si="98">+AJ14</f>
        <v>SEG02</v>
      </c>
      <c r="BA14" s="212">
        <v>9</v>
      </c>
      <c r="BB14" s="212">
        <v>0</v>
      </c>
      <c r="BC14" s="212"/>
      <c r="BD14" s="212"/>
      <c r="BE14" s="405"/>
      <c r="BF14" s="406">
        <f t="shared" si="86"/>
        <v>0</v>
      </c>
      <c r="BG14" s="341" t="str">
        <f t="shared" si="87"/>
        <v>SEG02</v>
      </c>
      <c r="BH14" s="212"/>
      <c r="BI14" s="212"/>
      <c r="BJ14" s="212"/>
      <c r="BK14" s="212"/>
      <c r="BL14" s="212"/>
      <c r="BM14" s="212"/>
      <c r="BN14" s="212"/>
      <c r="BO14" s="212"/>
      <c r="BP14" s="213"/>
      <c r="BQ14" s="188"/>
      <c r="BR14" s="205">
        <v>2</v>
      </c>
      <c r="BS14" s="342" t="str">
        <f t="shared" ref="BS14:BS22" si="99">+AZ14</f>
        <v>SEG02</v>
      </c>
      <c r="BT14" s="207">
        <v>2</v>
      </c>
      <c r="BU14" s="275">
        <v>0</v>
      </c>
      <c r="BV14" s="207">
        <v>0</v>
      </c>
      <c r="BW14" s="207" t="s">
        <v>170</v>
      </c>
      <c r="BX14" s="342" t="s">
        <v>170</v>
      </c>
      <c r="BY14" s="398" t="s">
        <v>170</v>
      </c>
      <c r="BZ14" s="342" t="str">
        <f t="shared" si="88"/>
        <v>SEG02</v>
      </c>
      <c r="CA14" s="207">
        <v>1</v>
      </c>
      <c r="CB14" s="181" t="s">
        <v>170</v>
      </c>
      <c r="CC14" s="181" t="s">
        <v>170</v>
      </c>
      <c r="CD14" s="181" t="s">
        <v>170</v>
      </c>
      <c r="CE14" s="181" t="s">
        <v>170</v>
      </c>
      <c r="CF14" s="194" t="s">
        <v>170</v>
      </c>
      <c r="CG14" s="195"/>
      <c r="CH14" s="205">
        <v>2</v>
      </c>
      <c r="CI14" s="207" t="str">
        <f t="shared" ref="CI14:CI22" si="100">BS14</f>
        <v>SEG02</v>
      </c>
      <c r="CJ14" s="207">
        <v>3</v>
      </c>
      <c r="CK14" s="207">
        <v>1</v>
      </c>
      <c r="CL14" s="343" t="str">
        <f t="shared" ref="CL14:CL22" si="101">+CI14</f>
        <v>SEG02</v>
      </c>
      <c r="CM14" s="207">
        <f>484000/121</f>
        <v>4000</v>
      </c>
      <c r="CN14" s="207"/>
      <c r="CO14" s="218">
        <v>121</v>
      </c>
      <c r="CP14" s="401">
        <f t="shared" si="89"/>
        <v>1</v>
      </c>
      <c r="CQ14" s="196"/>
      <c r="CR14" s="205">
        <v>2</v>
      </c>
      <c r="CS14" s="344" t="str">
        <f>CI14</f>
        <v>SEG02</v>
      </c>
      <c r="CT14" s="186">
        <v>1</v>
      </c>
      <c r="CU14" s="186">
        <v>3</v>
      </c>
      <c r="CV14" s="186"/>
      <c r="CW14" s="186">
        <v>3</v>
      </c>
      <c r="CX14" s="186">
        <v>1</v>
      </c>
      <c r="CY14" s="186">
        <v>1</v>
      </c>
      <c r="CZ14" s="186">
        <v>1</v>
      </c>
      <c r="DA14" s="186">
        <v>3</v>
      </c>
      <c r="DB14" s="186">
        <v>1</v>
      </c>
      <c r="DC14" s="186">
        <v>1</v>
      </c>
      <c r="DD14" s="186">
        <v>1</v>
      </c>
      <c r="DE14" s="186">
        <v>3</v>
      </c>
      <c r="DF14" s="186">
        <v>1</v>
      </c>
      <c r="DG14" s="186">
        <v>1</v>
      </c>
      <c r="DH14" s="186">
        <v>3</v>
      </c>
      <c r="DI14" s="186">
        <v>1</v>
      </c>
      <c r="DJ14" s="187">
        <v>1</v>
      </c>
      <c r="DK14" s="196"/>
      <c r="DL14" s="205">
        <v>2</v>
      </c>
      <c r="DM14" s="344" t="str">
        <f t="shared" ref="DM14:DM22" si="102">+CS14</f>
        <v>SEG02</v>
      </c>
      <c r="DN14" s="207">
        <v>1</v>
      </c>
      <c r="DO14" s="207">
        <v>2</v>
      </c>
      <c r="DP14" s="207"/>
      <c r="DR14" s="397">
        <v>40303</v>
      </c>
      <c r="DS14" s="344" t="str">
        <f t="shared" si="90"/>
        <v>SEG02</v>
      </c>
      <c r="DT14" s="207">
        <v>75</v>
      </c>
      <c r="DU14" s="410">
        <f t="shared" si="91"/>
        <v>0.6198347107438017</v>
      </c>
      <c r="DV14" s="207"/>
      <c r="DW14" s="207"/>
      <c r="DX14" s="222"/>
      <c r="DY14" s="217"/>
      <c r="DZ14" s="188"/>
      <c r="EA14" s="641">
        <v>2</v>
      </c>
      <c r="EB14" s="337" t="str">
        <f>EH14</f>
        <v>SEG02</v>
      </c>
      <c r="EC14" s="212">
        <v>0</v>
      </c>
      <c r="ED14" s="212">
        <v>0</v>
      </c>
      <c r="EE14" s="212">
        <v>0</v>
      </c>
      <c r="EF14" s="188"/>
      <c r="EG14" s="205">
        <v>2</v>
      </c>
      <c r="EH14" s="344" t="str">
        <f t="shared" ref="EH14:EH22" si="103">+BS14</f>
        <v>SEG02</v>
      </c>
      <c r="EI14" s="207">
        <v>81.25</v>
      </c>
      <c r="EJ14" s="207">
        <v>81.849999999999994</v>
      </c>
      <c r="EK14" s="410">
        <f>EJ14/EI14</f>
        <v>1.0073846153846153</v>
      </c>
      <c r="EL14" s="207">
        <v>81.849999999999994</v>
      </c>
      <c r="EM14" s="410">
        <f>EL14/EI14</f>
        <v>1.0073846153846153</v>
      </c>
      <c r="EN14" s="207"/>
      <c r="EO14" s="207"/>
      <c r="EP14" s="207"/>
      <c r="EQ14" s="207"/>
      <c r="ER14" s="207"/>
      <c r="ES14" s="207"/>
      <c r="ET14" s="207"/>
      <c r="EU14" s="207"/>
      <c r="EV14" s="207"/>
      <c r="EW14" s="217"/>
      <c r="EX14" s="288">
        <v>0</v>
      </c>
      <c r="EY14" s="412"/>
      <c r="EZ14" s="188"/>
      <c r="FA14" s="338" t="str">
        <f t="shared" si="92"/>
        <v>SEG02</v>
      </c>
      <c r="FB14" s="207">
        <v>121</v>
      </c>
      <c r="FC14" s="207">
        <v>209.5</v>
      </c>
      <c r="FD14" s="416">
        <v>1.00543</v>
      </c>
      <c r="FE14" s="424">
        <f t="shared" si="93"/>
        <v>210.637585</v>
      </c>
      <c r="FF14" s="207">
        <v>121</v>
      </c>
      <c r="FG14" s="207">
        <v>260.45999999999998</v>
      </c>
      <c r="FH14" s="413">
        <f t="shared" ref="FH14:FH22" si="104">FG14/FF14</f>
        <v>2.1525619834710743</v>
      </c>
      <c r="FI14" s="207">
        <v>1.25</v>
      </c>
      <c r="FJ14" s="416">
        <f>+FI14*FG14</f>
        <v>325.57499999999999</v>
      </c>
      <c r="FK14" s="205">
        <v>2</v>
      </c>
      <c r="FL14" s="337" t="str">
        <f t="shared" ref="FL14:FL22" si="105">FA14</f>
        <v>SEG02</v>
      </c>
      <c r="FM14" s="207">
        <v>1</v>
      </c>
      <c r="FN14" s="222">
        <v>0</v>
      </c>
      <c r="FO14" s="222">
        <v>0</v>
      </c>
      <c r="FP14" s="222">
        <v>0</v>
      </c>
      <c r="FQ14" s="217">
        <v>1</v>
      </c>
    </row>
    <row r="15" spans="1:173" s="204" customFormat="1" ht="22.7" customHeight="1" x14ac:dyDescent="0.25">
      <c r="A15" s="588">
        <v>3</v>
      </c>
      <c r="B15" s="339" t="s">
        <v>685</v>
      </c>
      <c r="C15" s="600">
        <v>42</v>
      </c>
      <c r="D15" s="212">
        <v>103</v>
      </c>
      <c r="E15" s="601">
        <v>0</v>
      </c>
      <c r="F15" s="602">
        <f t="shared" si="94"/>
        <v>0</v>
      </c>
      <c r="G15" s="212">
        <v>11</v>
      </c>
      <c r="H15" s="212">
        <v>28</v>
      </c>
      <c r="I15" s="212"/>
      <c r="J15" s="406">
        <f t="shared" si="80"/>
        <v>0</v>
      </c>
      <c r="K15" s="212"/>
      <c r="L15" s="406">
        <f t="shared" si="95"/>
        <v>0</v>
      </c>
      <c r="M15" s="212"/>
      <c r="N15" s="406">
        <f t="shared" si="81"/>
        <v>0</v>
      </c>
      <c r="O15" s="603"/>
      <c r="P15" s="406">
        <f t="shared" ref="P15:P22" si="106">+O15/3</f>
        <v>0</v>
      </c>
      <c r="Q15" s="212"/>
      <c r="R15" s="406">
        <f t="shared" si="82"/>
        <v>0</v>
      </c>
      <c r="S15" s="212"/>
      <c r="T15" s="406">
        <f t="shared" si="83"/>
        <v>0</v>
      </c>
      <c r="U15" s="212"/>
      <c r="V15" s="406">
        <f t="shared" si="84"/>
        <v>0</v>
      </c>
      <c r="W15" s="593">
        <v>3</v>
      </c>
      <c r="X15" s="339" t="str">
        <f t="shared" ref="X15:X22" si="107">+B15</f>
        <v>SEG03</v>
      </c>
      <c r="Y15" s="212">
        <v>2</v>
      </c>
      <c r="Z15" s="212">
        <v>2</v>
      </c>
      <c r="AA15" s="212" t="s">
        <v>170</v>
      </c>
      <c r="AB15" s="212" t="s">
        <v>170</v>
      </c>
      <c r="AC15" s="212">
        <v>2</v>
      </c>
      <c r="AD15" s="212" t="s">
        <v>170</v>
      </c>
      <c r="AE15" s="212" t="s">
        <v>170</v>
      </c>
      <c r="AF15" s="212">
        <v>1</v>
      </c>
      <c r="AG15" s="213">
        <v>1</v>
      </c>
      <c r="AH15" s="188"/>
      <c r="AI15" s="211">
        <v>3</v>
      </c>
      <c r="AJ15" s="339" t="str">
        <f t="shared" si="96"/>
        <v>SEG03</v>
      </c>
      <c r="AK15" s="212">
        <v>2</v>
      </c>
      <c r="AL15" s="212">
        <v>3</v>
      </c>
      <c r="AM15" s="212">
        <f>98+75+80</f>
        <v>253</v>
      </c>
      <c r="AN15" s="405">
        <f>+AM15/AL15</f>
        <v>84.333333333333329</v>
      </c>
      <c r="AO15" s="406">
        <f t="shared" si="85"/>
        <v>0.81877022653721676</v>
      </c>
      <c r="AP15" s="340" t="str">
        <f t="shared" si="97"/>
        <v>SEG03</v>
      </c>
      <c r="AQ15" s="212">
        <v>4</v>
      </c>
      <c r="AR15" s="212">
        <v>2</v>
      </c>
      <c r="AS15" s="212">
        <v>1</v>
      </c>
      <c r="AT15" s="212">
        <v>1</v>
      </c>
      <c r="AU15" s="212">
        <v>1</v>
      </c>
      <c r="AV15" s="223">
        <v>0.51</v>
      </c>
      <c r="AW15" s="213"/>
      <c r="AX15" s="188"/>
      <c r="AY15" s="211">
        <v>3</v>
      </c>
      <c r="AZ15" s="339" t="str">
        <f t="shared" si="98"/>
        <v>SEG03</v>
      </c>
      <c r="BA15" s="212">
        <v>9</v>
      </c>
      <c r="BB15" s="212">
        <v>0</v>
      </c>
      <c r="BC15" s="212"/>
      <c r="BD15" s="212"/>
      <c r="BE15" s="408"/>
      <c r="BF15" s="406">
        <f t="shared" si="86"/>
        <v>0</v>
      </c>
      <c r="BG15" s="341" t="str">
        <f t="shared" si="87"/>
        <v>SEG03</v>
      </c>
      <c r="BH15" s="212"/>
      <c r="BI15" s="212"/>
      <c r="BJ15" s="212"/>
      <c r="BK15" s="212"/>
      <c r="BL15" s="212"/>
      <c r="BM15" s="212"/>
      <c r="BN15" s="223"/>
      <c r="BO15" s="212"/>
      <c r="BP15" s="213"/>
      <c r="BQ15" s="188"/>
      <c r="BR15" s="205">
        <v>3</v>
      </c>
      <c r="BS15" s="342" t="str">
        <f t="shared" si="99"/>
        <v>SEG03</v>
      </c>
      <c r="BT15" s="207">
        <v>2</v>
      </c>
      <c r="BU15" s="275">
        <v>0</v>
      </c>
      <c r="BV15" s="207">
        <v>0</v>
      </c>
      <c r="BW15" s="207" t="s">
        <v>170</v>
      </c>
      <c r="BX15" s="342" t="s">
        <v>170</v>
      </c>
      <c r="BY15" s="398" t="s">
        <v>170</v>
      </c>
      <c r="BZ15" s="342" t="str">
        <f t="shared" si="88"/>
        <v>SEG03</v>
      </c>
      <c r="CA15" s="207">
        <v>1</v>
      </c>
      <c r="CB15" s="207" t="s">
        <v>170</v>
      </c>
      <c r="CC15" s="207" t="s">
        <v>170</v>
      </c>
      <c r="CD15" s="207" t="s">
        <v>170</v>
      </c>
      <c r="CE15" s="207" t="s">
        <v>170</v>
      </c>
      <c r="CF15" s="217" t="s">
        <v>170</v>
      </c>
      <c r="CG15" s="195"/>
      <c r="CH15" s="205">
        <v>3</v>
      </c>
      <c r="CI15" s="207" t="str">
        <f t="shared" si="100"/>
        <v>SEG03</v>
      </c>
      <c r="CJ15" s="207">
        <v>3</v>
      </c>
      <c r="CK15" s="207">
        <v>1</v>
      </c>
      <c r="CL15" s="343" t="str">
        <f t="shared" si="101"/>
        <v>SEG03</v>
      </c>
      <c r="CM15" s="207">
        <v>2500</v>
      </c>
      <c r="CN15" s="207"/>
      <c r="CO15" s="218">
        <v>103</v>
      </c>
      <c r="CP15" s="401">
        <f t="shared" si="89"/>
        <v>1</v>
      </c>
      <c r="CQ15" s="196"/>
      <c r="CR15" s="205">
        <v>3</v>
      </c>
      <c r="CS15" s="344" t="str">
        <f t="shared" ref="CS15:CS22" si="108">CI15</f>
        <v>SEG03</v>
      </c>
      <c r="CT15" s="186">
        <v>1</v>
      </c>
      <c r="CU15" s="186">
        <v>3</v>
      </c>
      <c r="CV15" s="186">
        <v>3</v>
      </c>
      <c r="CW15" s="186">
        <v>1</v>
      </c>
      <c r="CX15" s="186">
        <v>1</v>
      </c>
      <c r="CY15" s="186">
        <v>1</v>
      </c>
      <c r="CZ15" s="186">
        <v>1</v>
      </c>
      <c r="DA15" s="186">
        <v>3</v>
      </c>
      <c r="DB15" s="186">
        <v>1</v>
      </c>
      <c r="DC15" s="186">
        <v>1</v>
      </c>
      <c r="DD15" s="186">
        <v>1</v>
      </c>
      <c r="DE15" s="186">
        <v>3</v>
      </c>
      <c r="DF15" s="212">
        <v>1</v>
      </c>
      <c r="DG15" s="212">
        <v>1</v>
      </c>
      <c r="DH15" s="212">
        <v>3</v>
      </c>
      <c r="DI15" s="212">
        <v>3</v>
      </c>
      <c r="DJ15" s="213">
        <v>3</v>
      </c>
      <c r="DK15" s="188"/>
      <c r="DL15" s="205">
        <v>3</v>
      </c>
      <c r="DM15" s="344" t="str">
        <f t="shared" si="102"/>
        <v>SEG03</v>
      </c>
      <c r="DN15" s="207">
        <v>1</v>
      </c>
      <c r="DO15" s="207">
        <v>2</v>
      </c>
      <c r="DP15" s="207"/>
      <c r="DR15" s="633">
        <v>40461</v>
      </c>
      <c r="DS15" s="344" t="str">
        <f t="shared" si="90"/>
        <v>SEG03</v>
      </c>
      <c r="DT15" s="207">
        <v>86</v>
      </c>
      <c r="DU15" s="410">
        <f t="shared" si="91"/>
        <v>0.83495145631067957</v>
      </c>
      <c r="DV15" s="207"/>
      <c r="DW15" s="207"/>
      <c r="DX15" s="222"/>
      <c r="DY15" s="217"/>
      <c r="DZ15" s="188"/>
      <c r="EA15" s="211">
        <v>3</v>
      </c>
      <c r="EB15" s="332" t="str">
        <f t="shared" ref="EB15:EB22" si="109">EH15</f>
        <v>SEG03</v>
      </c>
      <c r="EC15" s="212">
        <v>0</v>
      </c>
      <c r="ED15" s="212">
        <v>0</v>
      </c>
      <c r="EE15" s="212">
        <v>0</v>
      </c>
      <c r="EF15" s="188"/>
      <c r="EG15" s="205">
        <v>3</v>
      </c>
      <c r="EH15" s="344" t="str">
        <f t="shared" si="103"/>
        <v>SEG03</v>
      </c>
      <c r="EI15" s="207">
        <v>160</v>
      </c>
      <c r="EJ15" s="207">
        <v>141.1</v>
      </c>
      <c r="EK15" s="410">
        <f t="shared" ref="EK15:EK22" si="110">EJ15/EI15</f>
        <v>0.88187499999999996</v>
      </c>
      <c r="EL15" s="207">
        <v>141.1</v>
      </c>
      <c r="EM15" s="410">
        <f t="shared" ref="EM15:EM22" si="111">EL15/EI15</f>
        <v>0.88187499999999996</v>
      </c>
      <c r="EN15" s="207"/>
      <c r="EO15" s="207"/>
      <c r="EP15" s="207"/>
      <c r="EQ15" s="207"/>
      <c r="ER15" s="207"/>
      <c r="ES15" s="207"/>
      <c r="ET15" s="207"/>
      <c r="EU15" s="207"/>
      <c r="EV15" s="207"/>
      <c r="EW15" s="217"/>
      <c r="EX15" s="288"/>
      <c r="EY15" s="412" t="e">
        <f t="shared" ref="EY15:EY22" si="112">EX15/EW15</f>
        <v>#DIV/0!</v>
      </c>
      <c r="EZ15" s="188"/>
      <c r="FA15" s="642" t="str">
        <f t="shared" si="92"/>
        <v>SEG03</v>
      </c>
      <c r="FB15" s="207">
        <v>103</v>
      </c>
      <c r="FC15" s="207">
        <v>439.75</v>
      </c>
      <c r="FD15" s="207">
        <v>0.98499999999999999</v>
      </c>
      <c r="FE15" s="424">
        <f t="shared" si="93"/>
        <v>433.15375</v>
      </c>
      <c r="FF15" s="207">
        <v>103</v>
      </c>
      <c r="FG15" s="207">
        <v>535.5</v>
      </c>
      <c r="FH15" s="649">
        <f t="shared" si="104"/>
        <v>5.1990291262135919</v>
      </c>
      <c r="FI15" s="207">
        <v>1.2</v>
      </c>
      <c r="FJ15" s="416">
        <f>+FI15*FG15</f>
        <v>642.6</v>
      </c>
      <c r="FK15" s="205">
        <v>3</v>
      </c>
      <c r="FL15" s="604" t="str">
        <f t="shared" si="105"/>
        <v>SEG03</v>
      </c>
      <c r="FM15" s="207">
        <v>1</v>
      </c>
      <c r="FN15" s="222">
        <v>0</v>
      </c>
      <c r="FO15" s="222">
        <v>0</v>
      </c>
      <c r="FP15" s="222">
        <v>0</v>
      </c>
      <c r="FQ15" s="217">
        <v>1</v>
      </c>
    </row>
    <row r="16" spans="1:173" s="204" customFormat="1" ht="22.7" customHeight="1" x14ac:dyDescent="0.25">
      <c r="A16" s="592">
        <v>4</v>
      </c>
      <c r="B16" s="585" t="s">
        <v>686</v>
      </c>
      <c r="C16" s="586">
        <v>54</v>
      </c>
      <c r="D16" s="600">
        <v>103</v>
      </c>
      <c r="E16" s="605">
        <v>3</v>
      </c>
      <c r="F16" s="606"/>
      <c r="G16" s="600">
        <v>11</v>
      </c>
      <c r="H16" s="607">
        <f>+(40+32+31+35+35+32+45+42+55+45+35)/11</f>
        <v>38.81818181818182</v>
      </c>
      <c r="I16" s="600"/>
      <c r="J16" s="608">
        <f t="shared" si="80"/>
        <v>0</v>
      </c>
      <c r="K16" s="600"/>
      <c r="L16" s="608">
        <f t="shared" si="95"/>
        <v>0</v>
      </c>
      <c r="M16" s="600"/>
      <c r="N16" s="608">
        <f t="shared" si="81"/>
        <v>0</v>
      </c>
      <c r="O16" s="609"/>
      <c r="P16" s="608">
        <f t="shared" si="106"/>
        <v>0</v>
      </c>
      <c r="Q16" s="600"/>
      <c r="R16" s="608">
        <f t="shared" si="82"/>
        <v>0</v>
      </c>
      <c r="S16" s="600"/>
      <c r="T16" s="608">
        <f t="shared" si="83"/>
        <v>0</v>
      </c>
      <c r="U16" s="600"/>
      <c r="V16" s="608">
        <f t="shared" si="84"/>
        <v>0</v>
      </c>
      <c r="W16" s="593">
        <v>4</v>
      </c>
      <c r="X16" s="339" t="str">
        <f t="shared" si="107"/>
        <v>SEG04</v>
      </c>
      <c r="Y16" s="212">
        <v>2</v>
      </c>
      <c r="Z16" s="212">
        <v>2</v>
      </c>
      <c r="AA16" s="212" t="s">
        <v>170</v>
      </c>
      <c r="AB16" s="212" t="s">
        <v>170</v>
      </c>
      <c r="AC16" s="212">
        <v>2</v>
      </c>
      <c r="AD16" s="212" t="s">
        <v>170</v>
      </c>
      <c r="AE16" s="212" t="s">
        <v>170</v>
      </c>
      <c r="AF16" s="212">
        <v>1</v>
      </c>
      <c r="AG16" s="213">
        <v>1</v>
      </c>
      <c r="AH16" s="188"/>
      <c r="AI16" s="211">
        <v>4</v>
      </c>
      <c r="AJ16" s="339" t="str">
        <f t="shared" si="96"/>
        <v>SEG04</v>
      </c>
      <c r="AK16" s="212">
        <v>2</v>
      </c>
      <c r="AL16" s="212">
        <v>3</v>
      </c>
      <c r="AM16" s="212">
        <f>54+47+97</f>
        <v>198</v>
      </c>
      <c r="AN16" s="405">
        <f t="shared" ref="AN16:AN22" si="113">+AM16/AL16</f>
        <v>66</v>
      </c>
      <c r="AO16" s="406">
        <f t="shared" si="85"/>
        <v>0.64077669902912626</v>
      </c>
      <c r="AP16" s="340" t="str">
        <f t="shared" si="97"/>
        <v>SEG04</v>
      </c>
      <c r="AQ16" s="212">
        <v>4</v>
      </c>
      <c r="AR16" s="212">
        <v>2</v>
      </c>
      <c r="AS16" s="212">
        <v>1</v>
      </c>
      <c r="AT16" s="212">
        <v>2</v>
      </c>
      <c r="AU16" s="212">
        <v>1</v>
      </c>
      <c r="AV16" s="223">
        <v>0.51</v>
      </c>
      <c r="AW16" s="213"/>
      <c r="AX16" s="188"/>
      <c r="AY16" s="211">
        <v>4</v>
      </c>
      <c r="AZ16" s="339" t="str">
        <f t="shared" si="98"/>
        <v>SEG04</v>
      </c>
      <c r="BA16" s="212">
        <v>9</v>
      </c>
      <c r="BB16" s="212">
        <v>0</v>
      </c>
      <c r="BC16" s="212"/>
      <c r="BD16" s="212"/>
      <c r="BE16" s="405"/>
      <c r="BF16" s="406">
        <f t="shared" si="86"/>
        <v>0</v>
      </c>
      <c r="BG16" s="341" t="str">
        <f t="shared" si="87"/>
        <v>SEG04</v>
      </c>
      <c r="BH16" s="212"/>
      <c r="BI16" s="212"/>
      <c r="BJ16" s="212"/>
      <c r="BK16" s="212"/>
      <c r="BL16" s="212"/>
      <c r="BM16" s="212"/>
      <c r="BN16" s="223"/>
      <c r="BO16" s="212"/>
      <c r="BP16" s="213"/>
      <c r="BQ16" s="188"/>
      <c r="BR16" s="205">
        <v>4</v>
      </c>
      <c r="BS16" s="342" t="str">
        <f t="shared" si="99"/>
        <v>SEG04</v>
      </c>
      <c r="BT16" s="207">
        <v>2</v>
      </c>
      <c r="BU16" s="275">
        <v>0</v>
      </c>
      <c r="BV16" s="207">
        <v>0</v>
      </c>
      <c r="BW16" s="207" t="s">
        <v>170</v>
      </c>
      <c r="BX16" s="342" t="s">
        <v>170</v>
      </c>
      <c r="BY16" s="398" t="s">
        <v>170</v>
      </c>
      <c r="BZ16" s="342" t="str">
        <f t="shared" si="88"/>
        <v>SEG04</v>
      </c>
      <c r="CA16" s="207">
        <v>2</v>
      </c>
      <c r="CB16" s="207" t="s">
        <v>170</v>
      </c>
      <c r="CC16" s="207" t="s">
        <v>170</v>
      </c>
      <c r="CD16" s="207" t="s">
        <v>170</v>
      </c>
      <c r="CE16" s="207" t="s">
        <v>170</v>
      </c>
      <c r="CF16" s="217" t="s">
        <v>170</v>
      </c>
      <c r="CG16" s="195"/>
      <c r="CH16" s="205">
        <v>4</v>
      </c>
      <c r="CI16" s="207" t="str">
        <f t="shared" si="100"/>
        <v>SEG04</v>
      </c>
      <c r="CJ16" s="207">
        <v>3</v>
      </c>
      <c r="CK16" s="207">
        <v>1</v>
      </c>
      <c r="CL16" s="343" t="str">
        <f t="shared" si="101"/>
        <v>SEG04</v>
      </c>
      <c r="CM16" s="419">
        <f>139000/103</f>
        <v>1349.514563106796</v>
      </c>
      <c r="CN16" s="207"/>
      <c r="CO16" s="207"/>
      <c r="CP16" s="401">
        <f t="shared" si="89"/>
        <v>0</v>
      </c>
      <c r="CQ16" s="196"/>
      <c r="CR16" s="205">
        <v>4</v>
      </c>
      <c r="CS16" s="344" t="str">
        <f t="shared" si="108"/>
        <v>SEG04</v>
      </c>
      <c r="CT16" s="212">
        <v>1</v>
      </c>
      <c r="CU16" s="212">
        <v>3</v>
      </c>
      <c r="CV16" s="212">
        <v>3</v>
      </c>
      <c r="CW16" s="212">
        <v>3</v>
      </c>
      <c r="CX16" s="212">
        <v>1</v>
      </c>
      <c r="CY16" s="212">
        <v>1</v>
      </c>
      <c r="CZ16" s="212">
        <v>1</v>
      </c>
      <c r="DA16" s="212">
        <v>3</v>
      </c>
      <c r="DB16" s="212">
        <v>1</v>
      </c>
      <c r="DC16" s="212">
        <v>3</v>
      </c>
      <c r="DD16" s="212">
        <v>1</v>
      </c>
      <c r="DE16" s="212">
        <v>3</v>
      </c>
      <c r="DF16" s="212">
        <v>1</v>
      </c>
      <c r="DG16" s="212">
        <v>1</v>
      </c>
      <c r="DH16" s="212">
        <v>3</v>
      </c>
      <c r="DI16" s="212">
        <v>1</v>
      </c>
      <c r="DJ16" s="213">
        <v>3</v>
      </c>
      <c r="DK16" s="188"/>
      <c r="DL16" s="205">
        <v>4</v>
      </c>
      <c r="DM16" s="344" t="str">
        <f t="shared" si="102"/>
        <v>SEG04</v>
      </c>
      <c r="DN16" s="207">
        <v>1</v>
      </c>
      <c r="DO16" s="207">
        <v>1</v>
      </c>
      <c r="DP16" s="207"/>
      <c r="DQ16" s="632"/>
      <c r="DR16" s="634">
        <v>40431</v>
      </c>
      <c r="DS16" s="344" t="str">
        <f t="shared" si="90"/>
        <v>SEG04</v>
      </c>
      <c r="DT16" s="207">
        <v>88</v>
      </c>
      <c r="DU16" s="410">
        <f t="shared" si="91"/>
        <v>0.85436893203883491</v>
      </c>
      <c r="DV16" s="207"/>
      <c r="DW16" s="207"/>
      <c r="DX16" s="222"/>
      <c r="DY16" s="217"/>
      <c r="DZ16" s="188"/>
      <c r="EA16" s="211">
        <v>4</v>
      </c>
      <c r="EB16" s="339" t="str">
        <f t="shared" si="109"/>
        <v>SEG04</v>
      </c>
      <c r="EC16" s="212"/>
      <c r="ED16" s="212"/>
      <c r="EE16" s="212"/>
      <c r="EF16" s="188"/>
      <c r="EG16" s="205">
        <v>4</v>
      </c>
      <c r="EH16" s="344" t="str">
        <f t="shared" si="103"/>
        <v>SEG04</v>
      </c>
      <c r="EI16" s="207">
        <v>83</v>
      </c>
      <c r="EJ16" s="207">
        <v>83</v>
      </c>
      <c r="EK16" s="410">
        <f t="shared" si="110"/>
        <v>1</v>
      </c>
      <c r="EL16" s="207">
        <v>83</v>
      </c>
      <c r="EM16" s="410">
        <f t="shared" si="111"/>
        <v>1</v>
      </c>
      <c r="EN16" s="207"/>
      <c r="EO16" s="207"/>
      <c r="EP16" s="207"/>
      <c r="EQ16" s="207"/>
      <c r="ER16" s="207"/>
      <c r="ES16" s="207"/>
      <c r="ET16" s="207"/>
      <c r="EU16" s="207"/>
      <c r="EV16" s="207"/>
      <c r="EW16" s="217"/>
      <c r="EX16" s="288">
        <v>0</v>
      </c>
      <c r="EY16" s="412" t="e">
        <f t="shared" si="112"/>
        <v>#DIV/0!</v>
      </c>
      <c r="EZ16" s="188"/>
      <c r="FA16" s="646" t="str">
        <f t="shared" si="92"/>
        <v>SEG04</v>
      </c>
      <c r="FB16" s="207">
        <v>103</v>
      </c>
      <c r="FC16" s="207">
        <v>290.75</v>
      </c>
      <c r="FD16" s="207">
        <v>0.874</v>
      </c>
      <c r="FE16" s="424">
        <f t="shared" si="93"/>
        <v>254.1155</v>
      </c>
      <c r="FF16" s="207">
        <v>103</v>
      </c>
      <c r="FG16" s="207">
        <v>325.83</v>
      </c>
      <c r="FH16" s="652">
        <f t="shared" si="104"/>
        <v>3.1633980582524268</v>
      </c>
      <c r="FI16" s="207">
        <v>0.98</v>
      </c>
      <c r="FJ16" s="424">
        <f>+FI16*FG16</f>
        <v>319.3134</v>
      </c>
      <c r="FK16" s="205">
        <v>4</v>
      </c>
      <c r="FL16" s="656" t="str">
        <f t="shared" si="105"/>
        <v>SEG04</v>
      </c>
      <c r="FM16" s="207">
        <v>1</v>
      </c>
      <c r="FN16" s="222">
        <v>0</v>
      </c>
      <c r="FO16" s="222">
        <v>0</v>
      </c>
      <c r="FP16" s="222">
        <v>0</v>
      </c>
      <c r="FQ16" s="217">
        <v>2</v>
      </c>
    </row>
    <row r="17" spans="1:173" s="204" customFormat="1" ht="22.7" customHeight="1" x14ac:dyDescent="0.25">
      <c r="A17" s="590">
        <v>5</v>
      </c>
      <c r="B17" s="339" t="s">
        <v>687</v>
      </c>
      <c r="C17" s="610">
        <v>56</v>
      </c>
      <c r="D17" s="586">
        <v>131</v>
      </c>
      <c r="E17" s="611">
        <v>9</v>
      </c>
      <c r="F17" s="612">
        <f t="shared" si="94"/>
        <v>6.8702290076335881E-2</v>
      </c>
      <c r="G17" s="586">
        <v>11</v>
      </c>
      <c r="H17" s="613">
        <v>33</v>
      </c>
      <c r="I17" s="586">
        <v>2</v>
      </c>
      <c r="J17" s="614">
        <f t="shared" si="80"/>
        <v>0.18181818181818182</v>
      </c>
      <c r="K17" s="586">
        <v>1</v>
      </c>
      <c r="L17" s="614">
        <f t="shared" si="95"/>
        <v>0.33333333333333331</v>
      </c>
      <c r="M17" s="586">
        <v>5</v>
      </c>
      <c r="N17" s="614">
        <f t="shared" si="81"/>
        <v>0.45454545454545453</v>
      </c>
      <c r="O17" s="615">
        <v>1</v>
      </c>
      <c r="P17" s="614">
        <f t="shared" si="106"/>
        <v>0.33333333333333331</v>
      </c>
      <c r="Q17" s="586">
        <v>0</v>
      </c>
      <c r="R17" s="614">
        <f t="shared" si="82"/>
        <v>0</v>
      </c>
      <c r="S17" s="586">
        <v>0</v>
      </c>
      <c r="T17" s="614">
        <f t="shared" si="83"/>
        <v>0</v>
      </c>
      <c r="U17" s="586">
        <v>0</v>
      </c>
      <c r="V17" s="616">
        <f t="shared" si="84"/>
        <v>0</v>
      </c>
      <c r="W17" s="211">
        <v>5</v>
      </c>
      <c r="X17" s="339" t="str">
        <f t="shared" si="107"/>
        <v>SEG05</v>
      </c>
      <c r="Y17" s="212">
        <v>2</v>
      </c>
      <c r="Z17" s="212"/>
      <c r="AA17" s="212"/>
      <c r="AB17" s="212"/>
      <c r="AC17" s="212"/>
      <c r="AD17" s="212"/>
      <c r="AE17" s="212"/>
      <c r="AF17" s="212">
        <v>1</v>
      </c>
      <c r="AG17" s="213">
        <v>1</v>
      </c>
      <c r="AH17" s="188"/>
      <c r="AI17" s="211">
        <v>5</v>
      </c>
      <c r="AJ17" s="339" t="str">
        <f t="shared" si="96"/>
        <v>SEG05</v>
      </c>
      <c r="AK17" s="212"/>
      <c r="AL17" s="212">
        <v>2</v>
      </c>
      <c r="AM17" s="212">
        <f>54+28</f>
        <v>82</v>
      </c>
      <c r="AN17" s="405">
        <f t="shared" si="113"/>
        <v>41</v>
      </c>
      <c r="AO17" s="406">
        <f t="shared" si="85"/>
        <v>0.31297709923664124</v>
      </c>
      <c r="AP17" s="340" t="str">
        <f t="shared" si="97"/>
        <v>SEG05</v>
      </c>
      <c r="AQ17" s="212">
        <v>4</v>
      </c>
      <c r="AR17" s="212">
        <v>3</v>
      </c>
      <c r="AS17" s="212">
        <v>1</v>
      </c>
      <c r="AT17" s="212">
        <v>2</v>
      </c>
      <c r="AU17" s="212">
        <v>1</v>
      </c>
      <c r="AV17" s="223">
        <v>0.51</v>
      </c>
      <c r="AW17" s="213"/>
      <c r="AX17" s="188"/>
      <c r="AY17" s="211">
        <v>5</v>
      </c>
      <c r="AZ17" s="339" t="str">
        <f t="shared" si="98"/>
        <v>SEG05</v>
      </c>
      <c r="BA17" s="212">
        <v>11</v>
      </c>
      <c r="BB17" s="212">
        <v>0</v>
      </c>
      <c r="BC17" s="212">
        <v>2</v>
      </c>
      <c r="BD17" s="212">
        <v>17</v>
      </c>
      <c r="BE17" s="405">
        <f t="shared" ref="BE17:BE21" si="114">BD17/BC17</f>
        <v>8.5</v>
      </c>
      <c r="BF17" s="406">
        <f t="shared" si="86"/>
        <v>0.77272727272727271</v>
      </c>
      <c r="BG17" s="341" t="str">
        <f t="shared" si="87"/>
        <v>SEG05</v>
      </c>
      <c r="BH17" s="212">
        <v>2</v>
      </c>
      <c r="BI17" s="212">
        <v>3</v>
      </c>
      <c r="BJ17" s="212">
        <v>3</v>
      </c>
      <c r="BK17" s="212">
        <v>3</v>
      </c>
      <c r="BL17" s="212">
        <v>1</v>
      </c>
      <c r="BM17" s="212"/>
      <c r="BN17" s="212">
        <v>6</v>
      </c>
      <c r="BO17" s="212">
        <v>2</v>
      </c>
      <c r="BP17" s="213">
        <v>2</v>
      </c>
      <c r="BQ17" s="188"/>
      <c r="BR17" s="205">
        <v>5</v>
      </c>
      <c r="BS17" s="342" t="str">
        <f t="shared" si="99"/>
        <v>SEG05</v>
      </c>
      <c r="BT17" s="207">
        <v>2</v>
      </c>
      <c r="BU17" s="275">
        <v>0</v>
      </c>
      <c r="BV17" s="207">
        <v>2</v>
      </c>
      <c r="BW17" s="207"/>
      <c r="BX17" s="342"/>
      <c r="BY17" s="398"/>
      <c r="BZ17" s="342" t="str">
        <f t="shared" si="88"/>
        <v>SEG05</v>
      </c>
      <c r="CA17" s="207">
        <v>2</v>
      </c>
      <c r="CB17" s="207">
        <v>4</v>
      </c>
      <c r="CC17" s="207">
        <v>3</v>
      </c>
      <c r="CD17" s="207">
        <v>2</v>
      </c>
      <c r="CE17" s="207">
        <v>2</v>
      </c>
      <c r="CF17" s="217">
        <v>2</v>
      </c>
      <c r="CG17" s="195"/>
      <c r="CH17" s="205">
        <v>5</v>
      </c>
      <c r="CI17" s="207" t="str">
        <f t="shared" si="100"/>
        <v>SEG05</v>
      </c>
      <c r="CJ17" s="207">
        <v>3</v>
      </c>
      <c r="CK17" s="207">
        <v>1</v>
      </c>
      <c r="CL17" s="343" t="str">
        <f t="shared" si="101"/>
        <v>SEG05</v>
      </c>
      <c r="CM17" s="207">
        <v>2000</v>
      </c>
      <c r="CN17" s="207"/>
      <c r="CO17" s="207">
        <v>120</v>
      </c>
      <c r="CP17" s="401">
        <f t="shared" si="89"/>
        <v>0.91603053435114501</v>
      </c>
      <c r="CQ17" s="196"/>
      <c r="CR17" s="205">
        <v>5</v>
      </c>
      <c r="CS17" s="344" t="str">
        <f t="shared" si="108"/>
        <v>SEG05</v>
      </c>
      <c r="CT17" s="212">
        <v>1</v>
      </c>
      <c r="CU17" s="212">
        <v>3</v>
      </c>
      <c r="CV17" s="212">
        <v>1</v>
      </c>
      <c r="CW17" s="212">
        <v>3</v>
      </c>
      <c r="CX17" s="212">
        <v>1</v>
      </c>
      <c r="CY17" s="212">
        <v>1</v>
      </c>
      <c r="CZ17" s="212">
        <v>1</v>
      </c>
      <c r="DA17" s="212">
        <v>3</v>
      </c>
      <c r="DB17" s="212">
        <v>1</v>
      </c>
      <c r="DC17" s="212">
        <v>1</v>
      </c>
      <c r="DD17" s="212">
        <v>1</v>
      </c>
      <c r="DE17" s="212">
        <v>3</v>
      </c>
      <c r="DF17" s="212">
        <v>1</v>
      </c>
      <c r="DG17" s="212">
        <v>1</v>
      </c>
      <c r="DH17" s="212">
        <v>3</v>
      </c>
      <c r="DI17" s="212">
        <v>1</v>
      </c>
      <c r="DJ17" s="213">
        <v>1</v>
      </c>
      <c r="DK17" s="188"/>
      <c r="DL17" s="205">
        <v>5</v>
      </c>
      <c r="DM17" s="344" t="str">
        <f t="shared" si="102"/>
        <v>SEG05</v>
      </c>
      <c r="DN17" s="207">
        <v>2</v>
      </c>
      <c r="DO17" s="207">
        <v>2</v>
      </c>
      <c r="DP17" s="207">
        <v>1</v>
      </c>
      <c r="DQ17" s="632"/>
      <c r="DR17" s="634">
        <v>40303</v>
      </c>
      <c r="DS17" s="344" t="str">
        <f t="shared" si="90"/>
        <v>SEG05</v>
      </c>
      <c r="DT17" s="207">
        <v>131</v>
      </c>
      <c r="DU17" s="410">
        <f t="shared" si="91"/>
        <v>1</v>
      </c>
      <c r="DV17" s="207"/>
      <c r="DW17" s="207"/>
      <c r="DX17" s="222"/>
      <c r="DY17" s="217"/>
      <c r="DZ17" s="188"/>
      <c r="EA17" s="639">
        <v>5</v>
      </c>
      <c r="EB17" s="339" t="str">
        <f t="shared" si="109"/>
        <v>SEG05</v>
      </c>
      <c r="EC17" s="226">
        <v>0</v>
      </c>
      <c r="ED17" s="226">
        <v>0</v>
      </c>
      <c r="EE17" s="226">
        <v>0</v>
      </c>
      <c r="EF17" s="188"/>
      <c r="EG17" s="205">
        <v>5</v>
      </c>
      <c r="EH17" s="344" t="str">
        <f t="shared" si="103"/>
        <v>SEG05</v>
      </c>
      <c r="EI17" s="207">
        <v>81.25</v>
      </c>
      <c r="EJ17" s="207">
        <v>81.849999999999994</v>
      </c>
      <c r="EK17" s="410">
        <f t="shared" si="110"/>
        <v>1.0073846153846153</v>
      </c>
      <c r="EL17" s="207">
        <v>81.849999999999994</v>
      </c>
      <c r="EM17" s="410">
        <f t="shared" si="111"/>
        <v>1.0073846153846153</v>
      </c>
      <c r="EN17" s="207"/>
      <c r="EO17" s="207"/>
      <c r="EP17" s="207"/>
      <c r="EQ17" s="207"/>
      <c r="ER17" s="207"/>
      <c r="ES17" s="207"/>
      <c r="ET17" s="207"/>
      <c r="EU17" s="207"/>
      <c r="EV17" s="207"/>
      <c r="EW17" s="217"/>
      <c r="EX17" s="288">
        <v>0</v>
      </c>
      <c r="EY17" s="412" t="e">
        <f t="shared" si="112"/>
        <v>#DIV/0!</v>
      </c>
      <c r="EZ17" s="188"/>
      <c r="FA17" s="646" t="str">
        <f t="shared" si="92"/>
        <v>SEG05</v>
      </c>
      <c r="FB17" s="207">
        <v>126</v>
      </c>
      <c r="FC17" s="207">
        <v>268.25</v>
      </c>
      <c r="FD17" s="207">
        <v>0.95899999999999996</v>
      </c>
      <c r="FE17" s="424">
        <f t="shared" si="93"/>
        <v>257.25175000000002</v>
      </c>
      <c r="FF17" s="207">
        <v>131</v>
      </c>
      <c r="FG17" s="207">
        <v>307.72000000000003</v>
      </c>
      <c r="FH17" s="652">
        <f t="shared" si="104"/>
        <v>2.3490076335877865</v>
      </c>
      <c r="FI17" s="207">
        <v>1.1000000000000001</v>
      </c>
      <c r="FJ17" s="424">
        <f t="shared" ref="FJ17:FJ22" si="115">+FI17*FG17</f>
        <v>338.49200000000008</v>
      </c>
      <c r="FK17" s="205">
        <v>5</v>
      </c>
      <c r="FL17" s="657" t="str">
        <f t="shared" si="105"/>
        <v>SEG05</v>
      </c>
      <c r="FM17" s="207">
        <v>1</v>
      </c>
      <c r="FN17" s="222">
        <v>10</v>
      </c>
      <c r="FO17" s="222">
        <v>2</v>
      </c>
      <c r="FP17" s="222">
        <v>0</v>
      </c>
      <c r="FQ17" s="217">
        <v>1</v>
      </c>
    </row>
    <row r="18" spans="1:173" s="204" customFormat="1" ht="22.7" customHeight="1" x14ac:dyDescent="0.25">
      <c r="A18" s="592">
        <v>6</v>
      </c>
      <c r="B18" s="339" t="s">
        <v>688</v>
      </c>
      <c r="C18" s="212">
        <v>43</v>
      </c>
      <c r="D18" s="212">
        <v>113</v>
      </c>
      <c r="E18" s="601">
        <v>2</v>
      </c>
      <c r="F18" s="602">
        <f t="shared" si="94"/>
        <v>1.7699115044247787E-2</v>
      </c>
      <c r="G18" s="212">
        <v>11</v>
      </c>
      <c r="H18" s="617">
        <f>(45+31+40+32+50+30+32+31+35+65+32)/11</f>
        <v>38.454545454545453</v>
      </c>
      <c r="I18" s="212">
        <v>0</v>
      </c>
      <c r="J18" s="406">
        <f t="shared" si="80"/>
        <v>0</v>
      </c>
      <c r="K18" s="212">
        <v>0</v>
      </c>
      <c r="L18" s="406">
        <f t="shared" si="95"/>
        <v>0</v>
      </c>
      <c r="M18" s="212">
        <v>0</v>
      </c>
      <c r="N18" s="406">
        <f t="shared" si="81"/>
        <v>0</v>
      </c>
      <c r="O18" s="603">
        <v>0</v>
      </c>
      <c r="P18" s="406">
        <f t="shared" si="106"/>
        <v>0</v>
      </c>
      <c r="Q18" s="212">
        <v>0</v>
      </c>
      <c r="R18" s="406">
        <f t="shared" si="82"/>
        <v>0</v>
      </c>
      <c r="S18" s="212">
        <v>0</v>
      </c>
      <c r="T18" s="406">
        <f t="shared" si="83"/>
        <v>0</v>
      </c>
      <c r="U18" s="212">
        <v>0</v>
      </c>
      <c r="V18" s="406">
        <f t="shared" si="84"/>
        <v>0</v>
      </c>
      <c r="W18" s="593">
        <v>6</v>
      </c>
      <c r="X18" s="339" t="str">
        <f t="shared" si="107"/>
        <v>SEG06</v>
      </c>
      <c r="Y18" s="212">
        <v>2</v>
      </c>
      <c r="Z18" s="212"/>
      <c r="AA18" s="212"/>
      <c r="AB18" s="212"/>
      <c r="AC18" s="212"/>
      <c r="AD18" s="212"/>
      <c r="AE18" s="212"/>
      <c r="AF18" s="212">
        <v>1</v>
      </c>
      <c r="AG18" s="213">
        <v>1</v>
      </c>
      <c r="AH18" s="188"/>
      <c r="AI18" s="211">
        <v>6</v>
      </c>
      <c r="AJ18" s="339" t="str">
        <f t="shared" si="96"/>
        <v>SEG06</v>
      </c>
      <c r="AK18" s="212">
        <v>2</v>
      </c>
      <c r="AL18" s="212">
        <v>2</v>
      </c>
      <c r="AM18" s="212">
        <f>87+91</f>
        <v>178</v>
      </c>
      <c r="AN18" s="405">
        <f t="shared" si="113"/>
        <v>89</v>
      </c>
      <c r="AO18" s="406">
        <f t="shared" si="85"/>
        <v>0.78761061946902655</v>
      </c>
      <c r="AP18" s="340" t="str">
        <f t="shared" si="97"/>
        <v>SEG06</v>
      </c>
      <c r="AQ18" s="212">
        <v>4</v>
      </c>
      <c r="AR18" s="212">
        <v>4</v>
      </c>
      <c r="AS18" s="212">
        <v>1</v>
      </c>
      <c r="AT18" s="212">
        <v>1</v>
      </c>
      <c r="AU18" s="212">
        <v>1</v>
      </c>
      <c r="AV18" s="223">
        <v>0.51</v>
      </c>
      <c r="AW18" s="213">
        <v>1</v>
      </c>
      <c r="AX18" s="188"/>
      <c r="AY18" s="211">
        <v>6</v>
      </c>
      <c r="AZ18" s="339" t="str">
        <f t="shared" si="98"/>
        <v>SEG06</v>
      </c>
      <c r="BA18" s="212">
        <v>9</v>
      </c>
      <c r="BB18" s="212">
        <v>0</v>
      </c>
      <c r="BC18" s="212"/>
      <c r="BD18" s="212"/>
      <c r="BE18" s="405"/>
      <c r="BF18" s="406"/>
      <c r="BG18" s="341" t="str">
        <f t="shared" si="87"/>
        <v>SEG06</v>
      </c>
      <c r="BH18" s="212">
        <v>1</v>
      </c>
      <c r="BI18" s="212">
        <v>1</v>
      </c>
      <c r="BJ18" s="212">
        <v>2</v>
      </c>
      <c r="BK18" s="212">
        <v>1</v>
      </c>
      <c r="BL18" s="212">
        <v>2</v>
      </c>
      <c r="BM18" s="212"/>
      <c r="BN18" s="223">
        <v>0.77777777777777779</v>
      </c>
      <c r="BO18" s="212">
        <v>1</v>
      </c>
      <c r="BP18" s="213"/>
      <c r="BQ18" s="188"/>
      <c r="BR18" s="205">
        <v>6</v>
      </c>
      <c r="BS18" s="342" t="str">
        <f t="shared" si="99"/>
        <v>SEG06</v>
      </c>
      <c r="BT18" s="207">
        <v>2</v>
      </c>
      <c r="BU18" s="275">
        <v>0</v>
      </c>
      <c r="BV18" s="207">
        <v>0</v>
      </c>
      <c r="BW18" s="207">
        <v>0</v>
      </c>
      <c r="BX18" s="342" t="s">
        <v>170</v>
      </c>
      <c r="BY18" s="398" t="s">
        <v>170</v>
      </c>
      <c r="BZ18" s="342" t="str">
        <f t="shared" si="88"/>
        <v>SEG06</v>
      </c>
      <c r="CA18" s="207">
        <v>1</v>
      </c>
      <c r="CB18" s="207" t="s">
        <v>170</v>
      </c>
      <c r="CC18" s="207" t="s">
        <v>170</v>
      </c>
      <c r="CD18" s="207" t="s">
        <v>170</v>
      </c>
      <c r="CE18" s="207" t="s">
        <v>170</v>
      </c>
      <c r="CF18" s="207" t="s">
        <v>170</v>
      </c>
      <c r="CG18" s="195"/>
      <c r="CH18" s="205">
        <v>6</v>
      </c>
      <c r="CI18" s="207" t="str">
        <f t="shared" si="100"/>
        <v>SEG06</v>
      </c>
      <c r="CJ18" s="207">
        <v>3</v>
      </c>
      <c r="CK18" s="207">
        <v>1</v>
      </c>
      <c r="CL18" s="343" t="str">
        <f t="shared" si="101"/>
        <v>SEG06</v>
      </c>
      <c r="CM18" s="207">
        <v>2000</v>
      </c>
      <c r="CN18" s="207"/>
      <c r="CO18" s="207">
        <v>113</v>
      </c>
      <c r="CP18" s="401">
        <f t="shared" si="89"/>
        <v>1</v>
      </c>
      <c r="CQ18" s="196"/>
      <c r="CR18" s="205">
        <v>6</v>
      </c>
      <c r="CS18" s="344" t="str">
        <f t="shared" si="108"/>
        <v>SEG06</v>
      </c>
      <c r="CT18" s="212">
        <v>1</v>
      </c>
      <c r="CU18" s="212">
        <v>3</v>
      </c>
      <c r="CV18" s="212">
        <v>3</v>
      </c>
      <c r="CW18" s="212">
        <v>3</v>
      </c>
      <c r="CX18" s="212">
        <v>1</v>
      </c>
      <c r="CY18" s="212">
        <v>1</v>
      </c>
      <c r="CZ18" s="212">
        <v>1</v>
      </c>
      <c r="DA18" s="212">
        <v>3</v>
      </c>
      <c r="DB18" s="212">
        <v>1</v>
      </c>
      <c r="DC18" s="212">
        <v>1</v>
      </c>
      <c r="DD18" s="212">
        <v>1</v>
      </c>
      <c r="DE18" s="212">
        <v>3</v>
      </c>
      <c r="DF18" s="212">
        <v>1</v>
      </c>
      <c r="DG18" s="212">
        <v>1</v>
      </c>
      <c r="DH18" s="212">
        <v>2</v>
      </c>
      <c r="DI18" s="212">
        <v>1</v>
      </c>
      <c r="DJ18" s="213">
        <v>1</v>
      </c>
      <c r="DK18" s="188"/>
      <c r="DL18" s="205">
        <v>6</v>
      </c>
      <c r="DM18" s="344" t="str">
        <f t="shared" si="102"/>
        <v>SEG06</v>
      </c>
      <c r="DN18" s="207">
        <v>1</v>
      </c>
      <c r="DO18" s="207">
        <v>1</v>
      </c>
      <c r="DP18" s="207"/>
      <c r="DR18" s="635">
        <v>40456</v>
      </c>
      <c r="DS18" s="344" t="str">
        <f t="shared" si="90"/>
        <v>SEG06</v>
      </c>
      <c r="DT18" s="207">
        <v>86</v>
      </c>
      <c r="DU18" s="410">
        <f t="shared" si="91"/>
        <v>0.76106194690265483</v>
      </c>
      <c r="DV18" s="207"/>
      <c r="DW18" s="207"/>
      <c r="DX18" s="222"/>
      <c r="DY18" s="217"/>
      <c r="DZ18" s="188"/>
      <c r="EA18" s="211">
        <v>6</v>
      </c>
      <c r="EB18" s="638" t="str">
        <f t="shared" si="109"/>
        <v>SEG06</v>
      </c>
      <c r="EC18" s="212">
        <v>0</v>
      </c>
      <c r="ED18" s="212">
        <v>0</v>
      </c>
      <c r="EE18" s="212">
        <v>0</v>
      </c>
      <c r="EF18" s="188"/>
      <c r="EG18" s="205">
        <v>6</v>
      </c>
      <c r="EH18" s="344" t="str">
        <f t="shared" si="103"/>
        <v>SEG06</v>
      </c>
      <c r="EI18" s="207">
        <v>160</v>
      </c>
      <c r="EJ18" s="207">
        <v>141.1</v>
      </c>
      <c r="EK18" s="410">
        <f t="shared" si="110"/>
        <v>0.88187499999999996</v>
      </c>
      <c r="EL18" s="207">
        <v>141.1</v>
      </c>
      <c r="EM18" s="410">
        <f t="shared" si="111"/>
        <v>0.88187499999999996</v>
      </c>
      <c r="EN18" s="207"/>
      <c r="EO18" s="207"/>
      <c r="EP18" s="207"/>
      <c r="EQ18" s="207"/>
      <c r="ER18" s="207"/>
      <c r="ES18" s="207"/>
      <c r="ET18" s="207"/>
      <c r="EU18" s="207"/>
      <c r="EV18" s="207"/>
      <c r="EW18" s="217"/>
      <c r="EX18" s="288">
        <v>0</v>
      </c>
      <c r="EY18" s="412"/>
      <c r="EZ18" s="188"/>
      <c r="FA18" s="646" t="str">
        <f t="shared" si="92"/>
        <v>SEG06</v>
      </c>
      <c r="FB18" s="207">
        <v>87</v>
      </c>
      <c r="FC18" s="207">
        <v>157.25</v>
      </c>
      <c r="FD18" s="207">
        <v>1.016</v>
      </c>
      <c r="FE18" s="422">
        <f t="shared" si="93"/>
        <v>159.76599999999999</v>
      </c>
      <c r="FF18" s="207">
        <v>113</v>
      </c>
      <c r="FG18" s="207">
        <v>170.12</v>
      </c>
      <c r="FH18" s="652">
        <f t="shared" si="104"/>
        <v>1.5054867256637168</v>
      </c>
      <c r="FI18" s="207">
        <v>1.1000000000000001</v>
      </c>
      <c r="FJ18" s="424">
        <f t="shared" si="115"/>
        <v>187.13200000000003</v>
      </c>
      <c r="FK18" s="205">
        <v>6</v>
      </c>
      <c r="FL18" s="656" t="str">
        <f t="shared" si="105"/>
        <v>SEG06</v>
      </c>
      <c r="FM18" s="207">
        <v>1</v>
      </c>
      <c r="FN18" s="222">
        <v>0</v>
      </c>
      <c r="FO18" s="222">
        <v>0</v>
      </c>
      <c r="FP18" s="222">
        <v>0</v>
      </c>
      <c r="FQ18" s="217">
        <v>1</v>
      </c>
    </row>
    <row r="19" spans="1:173" s="204" customFormat="1" ht="22.7" customHeight="1" x14ac:dyDescent="0.25">
      <c r="A19" s="590">
        <v>7</v>
      </c>
      <c r="B19" s="339" t="s">
        <v>689</v>
      </c>
      <c r="C19" s="212">
        <v>35</v>
      </c>
      <c r="D19" s="212">
        <v>74</v>
      </c>
      <c r="E19" s="601">
        <v>2</v>
      </c>
      <c r="F19" s="602">
        <f t="shared" si="94"/>
        <v>2.7027027027027029E-2</v>
      </c>
      <c r="G19" s="212">
        <v>11</v>
      </c>
      <c r="H19" s="617">
        <f>(25+30+60+36+33+35+37+57+58+65+30)/11</f>
        <v>42.363636363636367</v>
      </c>
      <c r="I19" s="212">
        <v>1</v>
      </c>
      <c r="J19" s="406">
        <f t="shared" si="80"/>
        <v>9.0909090909090912E-2</v>
      </c>
      <c r="K19" s="212">
        <v>1</v>
      </c>
      <c r="L19" s="406">
        <f t="shared" si="95"/>
        <v>0.33333333333333331</v>
      </c>
      <c r="M19" s="212">
        <v>3</v>
      </c>
      <c r="N19" s="406">
        <f t="shared" si="81"/>
        <v>0.27272727272727271</v>
      </c>
      <c r="O19" s="603">
        <v>2</v>
      </c>
      <c r="P19" s="406">
        <f t="shared" si="106"/>
        <v>0.66666666666666663</v>
      </c>
      <c r="Q19" s="212">
        <v>0</v>
      </c>
      <c r="R19" s="406">
        <f t="shared" si="82"/>
        <v>0</v>
      </c>
      <c r="S19" s="212">
        <v>0</v>
      </c>
      <c r="T19" s="406">
        <f t="shared" si="83"/>
        <v>0</v>
      </c>
      <c r="U19" s="212">
        <v>0</v>
      </c>
      <c r="V19" s="618">
        <f t="shared" si="84"/>
        <v>0</v>
      </c>
      <c r="W19" s="211">
        <v>7</v>
      </c>
      <c r="X19" s="339" t="str">
        <f t="shared" si="107"/>
        <v>SEG07</v>
      </c>
      <c r="Y19" s="212">
        <v>2</v>
      </c>
      <c r="Z19" s="212"/>
      <c r="AA19" s="212"/>
      <c r="AB19" s="212"/>
      <c r="AC19" s="212"/>
      <c r="AD19" s="212"/>
      <c r="AE19" s="212"/>
      <c r="AF19" s="212">
        <v>1</v>
      </c>
      <c r="AG19" s="213">
        <v>1</v>
      </c>
      <c r="AH19" s="188"/>
      <c r="AI19" s="211">
        <v>7</v>
      </c>
      <c r="AJ19" s="339" t="str">
        <f t="shared" si="96"/>
        <v>SEG07</v>
      </c>
      <c r="AK19" s="212">
        <v>3</v>
      </c>
      <c r="AL19" s="212">
        <v>2</v>
      </c>
      <c r="AM19" s="212">
        <f>28+16</f>
        <v>44</v>
      </c>
      <c r="AN19" s="405">
        <f t="shared" si="113"/>
        <v>22</v>
      </c>
      <c r="AO19" s="406">
        <f t="shared" si="85"/>
        <v>0.29729729729729731</v>
      </c>
      <c r="AP19" s="340" t="str">
        <f t="shared" si="97"/>
        <v>SEG07</v>
      </c>
      <c r="AQ19" s="212">
        <v>4</v>
      </c>
      <c r="AR19" s="212">
        <v>3</v>
      </c>
      <c r="AS19" s="212">
        <v>1</v>
      </c>
      <c r="AT19" s="212">
        <v>1</v>
      </c>
      <c r="AU19" s="212">
        <v>1</v>
      </c>
      <c r="AV19" s="223"/>
      <c r="AW19" s="213">
        <v>1</v>
      </c>
      <c r="AX19" s="188"/>
      <c r="AY19" s="211">
        <v>7</v>
      </c>
      <c r="AZ19" s="339" t="str">
        <f t="shared" si="98"/>
        <v>SEG07</v>
      </c>
      <c r="BA19" s="212">
        <v>9</v>
      </c>
      <c r="BB19" s="212">
        <v>0</v>
      </c>
      <c r="BC19" s="212">
        <v>1</v>
      </c>
      <c r="BD19" s="212">
        <v>9</v>
      </c>
      <c r="BE19" s="408">
        <f t="shared" si="114"/>
        <v>9</v>
      </c>
      <c r="BF19" s="406">
        <f t="shared" si="86"/>
        <v>1</v>
      </c>
      <c r="BG19" s="341" t="str">
        <f t="shared" si="87"/>
        <v>SEG07</v>
      </c>
      <c r="BH19" s="212">
        <v>1</v>
      </c>
      <c r="BI19" s="212">
        <v>1</v>
      </c>
      <c r="BJ19" s="212">
        <v>3</v>
      </c>
      <c r="BK19" s="212">
        <v>1</v>
      </c>
      <c r="BL19" s="212">
        <v>1</v>
      </c>
      <c r="BM19" s="212">
        <v>1</v>
      </c>
      <c r="BN19" s="223">
        <v>0.88888888888887996</v>
      </c>
      <c r="BO19" s="212">
        <v>3</v>
      </c>
      <c r="BP19" s="213">
        <v>1</v>
      </c>
      <c r="BQ19" s="188"/>
      <c r="BR19" s="205">
        <v>7</v>
      </c>
      <c r="BS19" s="342" t="str">
        <f t="shared" si="99"/>
        <v>SEG07</v>
      </c>
      <c r="BT19" s="207">
        <v>0</v>
      </c>
      <c r="BU19" s="275">
        <v>0</v>
      </c>
      <c r="BV19" s="207">
        <v>0</v>
      </c>
      <c r="BW19" s="207">
        <v>0</v>
      </c>
      <c r="BX19" s="342" t="s">
        <v>170</v>
      </c>
      <c r="BY19" s="398" t="s">
        <v>170</v>
      </c>
      <c r="BZ19" s="342" t="str">
        <f t="shared" si="88"/>
        <v>SEG07</v>
      </c>
      <c r="CA19" s="207">
        <v>0</v>
      </c>
      <c r="CB19" s="207">
        <v>0</v>
      </c>
      <c r="CC19" s="207">
        <v>0</v>
      </c>
      <c r="CD19" s="207">
        <v>0</v>
      </c>
      <c r="CE19" s="207">
        <v>0</v>
      </c>
      <c r="CF19" s="217">
        <v>0</v>
      </c>
      <c r="CG19" s="195"/>
      <c r="CH19" s="205">
        <v>7</v>
      </c>
      <c r="CI19" s="207" t="str">
        <f t="shared" si="100"/>
        <v>SEG07</v>
      </c>
      <c r="CJ19" s="207">
        <v>3</v>
      </c>
      <c r="CK19" s="207">
        <v>1</v>
      </c>
      <c r="CL19" s="343" t="str">
        <f t="shared" si="101"/>
        <v>SEG07</v>
      </c>
      <c r="CM19" s="207">
        <v>4000</v>
      </c>
      <c r="CN19" s="207" t="s">
        <v>701</v>
      </c>
      <c r="CO19" s="207">
        <v>74</v>
      </c>
      <c r="CP19" s="401">
        <f t="shared" si="89"/>
        <v>1</v>
      </c>
      <c r="CQ19" s="196"/>
      <c r="CR19" s="205">
        <v>7</v>
      </c>
      <c r="CS19" s="344" t="str">
        <f t="shared" si="108"/>
        <v>SEG07</v>
      </c>
      <c r="CT19" s="212">
        <v>1</v>
      </c>
      <c r="CU19" s="212">
        <v>3</v>
      </c>
      <c r="CV19" s="212">
        <v>3</v>
      </c>
      <c r="CW19" s="212">
        <v>1</v>
      </c>
      <c r="CX19" s="212">
        <v>1</v>
      </c>
      <c r="CY19" s="212">
        <v>1</v>
      </c>
      <c r="CZ19" s="212">
        <v>1</v>
      </c>
      <c r="DA19" s="212">
        <v>3</v>
      </c>
      <c r="DB19" s="212">
        <v>1</v>
      </c>
      <c r="DC19" s="212">
        <v>3</v>
      </c>
      <c r="DD19" s="212">
        <v>1</v>
      </c>
      <c r="DE19" s="212">
        <v>3</v>
      </c>
      <c r="DF19" s="212">
        <v>1</v>
      </c>
      <c r="DG19" s="212">
        <v>1</v>
      </c>
      <c r="DH19" s="212">
        <v>3</v>
      </c>
      <c r="DI19" s="212">
        <v>1</v>
      </c>
      <c r="DJ19" s="213">
        <v>1</v>
      </c>
      <c r="DK19" s="188"/>
      <c r="DL19" s="205">
        <v>7</v>
      </c>
      <c r="DM19" s="344" t="str">
        <f t="shared" si="102"/>
        <v>SEG07</v>
      </c>
      <c r="DN19" s="207">
        <v>2</v>
      </c>
      <c r="DO19" s="207">
        <v>2</v>
      </c>
      <c r="DP19" s="207">
        <v>1</v>
      </c>
      <c r="DQ19" s="632"/>
      <c r="DR19" s="637">
        <v>40273</v>
      </c>
      <c r="DS19" s="344" t="str">
        <f t="shared" si="90"/>
        <v>SEG07</v>
      </c>
      <c r="DT19" s="207">
        <v>68</v>
      </c>
      <c r="DU19" s="410">
        <f t="shared" si="91"/>
        <v>0.91891891891891897</v>
      </c>
      <c r="DV19" s="207"/>
      <c r="DW19" s="207"/>
      <c r="DX19" s="222"/>
      <c r="DY19" s="217"/>
      <c r="DZ19" s="188"/>
      <c r="EA19" s="211">
        <v>7</v>
      </c>
      <c r="EB19" s="339" t="str">
        <f t="shared" si="109"/>
        <v>SEG07</v>
      </c>
      <c r="EC19" s="212"/>
      <c r="ED19" s="212"/>
      <c r="EE19" s="212"/>
      <c r="EF19" s="188"/>
      <c r="EG19" s="205">
        <v>7</v>
      </c>
      <c r="EH19" s="344" t="str">
        <f t="shared" si="103"/>
        <v>SEG07</v>
      </c>
      <c r="EI19" s="207">
        <v>12.25</v>
      </c>
      <c r="EJ19" s="207">
        <v>16.649999999999999</v>
      </c>
      <c r="EK19" s="410">
        <f t="shared" si="110"/>
        <v>1.3591836734693876</v>
      </c>
      <c r="EL19" s="207"/>
      <c r="EM19" s="410">
        <f t="shared" si="111"/>
        <v>0</v>
      </c>
      <c r="EN19" s="207"/>
      <c r="EO19" s="207"/>
      <c r="EP19" s="207"/>
      <c r="EQ19" s="207"/>
      <c r="ER19" s="207"/>
      <c r="ES19" s="207"/>
      <c r="ET19" s="207"/>
      <c r="EU19" s="207"/>
      <c r="EV19" s="207"/>
      <c r="EW19" s="217"/>
      <c r="EX19" s="288">
        <v>0</v>
      </c>
      <c r="EY19" s="412" t="e">
        <f t="shared" si="112"/>
        <v>#DIV/0!</v>
      </c>
      <c r="EZ19" s="188"/>
      <c r="FA19" s="647" t="str">
        <f t="shared" si="92"/>
        <v>SEG07</v>
      </c>
      <c r="FB19" s="207">
        <v>19</v>
      </c>
      <c r="FC19" s="207">
        <v>49</v>
      </c>
      <c r="FD19" s="207">
        <v>0.81599999999999995</v>
      </c>
      <c r="FE19" s="422">
        <f t="shared" si="93"/>
        <v>39.983999999999995</v>
      </c>
      <c r="FF19" s="207">
        <v>18</v>
      </c>
      <c r="FG19" s="207">
        <v>57.06</v>
      </c>
      <c r="FH19" s="652">
        <f t="shared" si="104"/>
        <v>3.17</v>
      </c>
      <c r="FI19" s="207">
        <v>0.95</v>
      </c>
      <c r="FJ19" s="424">
        <f t="shared" si="115"/>
        <v>54.207000000000001</v>
      </c>
      <c r="FK19" s="205">
        <v>7</v>
      </c>
      <c r="FL19" s="585" t="str">
        <f t="shared" si="105"/>
        <v>SEG07</v>
      </c>
      <c r="FM19" s="207">
        <v>0</v>
      </c>
      <c r="FN19" s="222">
        <v>0</v>
      </c>
      <c r="FO19" s="222">
        <v>0</v>
      </c>
      <c r="FP19" s="222">
        <v>0</v>
      </c>
      <c r="FQ19" s="217">
        <v>1</v>
      </c>
    </row>
    <row r="20" spans="1:173" s="204" customFormat="1" ht="22.7" customHeight="1" x14ac:dyDescent="0.25">
      <c r="A20" s="590">
        <v>8</v>
      </c>
      <c r="B20" s="585" t="s">
        <v>690</v>
      </c>
      <c r="C20" s="212">
        <v>15</v>
      </c>
      <c r="D20" s="212">
        <v>18</v>
      </c>
      <c r="E20" s="601">
        <v>0</v>
      </c>
      <c r="F20" s="602">
        <f t="shared" si="94"/>
        <v>0</v>
      </c>
      <c r="G20" s="212">
        <v>6</v>
      </c>
      <c r="H20" s="617">
        <f>(52+36+25+40+35+32)/5</f>
        <v>44</v>
      </c>
      <c r="I20" s="212">
        <v>0</v>
      </c>
      <c r="J20" s="406">
        <f t="shared" si="80"/>
        <v>0</v>
      </c>
      <c r="K20" s="212">
        <v>0</v>
      </c>
      <c r="L20" s="406">
        <f t="shared" si="95"/>
        <v>0</v>
      </c>
      <c r="M20" s="212">
        <v>0</v>
      </c>
      <c r="N20" s="406">
        <f t="shared" si="81"/>
        <v>0</v>
      </c>
      <c r="O20" s="603">
        <v>0</v>
      </c>
      <c r="P20" s="406">
        <f t="shared" si="106"/>
        <v>0</v>
      </c>
      <c r="Q20" s="212">
        <v>0</v>
      </c>
      <c r="R20" s="406">
        <f t="shared" si="82"/>
        <v>0</v>
      </c>
      <c r="S20" s="212">
        <v>0</v>
      </c>
      <c r="T20" s="406">
        <f t="shared" si="83"/>
        <v>0</v>
      </c>
      <c r="U20" s="212">
        <v>0</v>
      </c>
      <c r="V20" s="618">
        <f t="shared" si="84"/>
        <v>0</v>
      </c>
      <c r="W20" s="211">
        <v>8</v>
      </c>
      <c r="X20" s="339" t="str">
        <f t="shared" si="107"/>
        <v>SEG08</v>
      </c>
      <c r="Y20" s="212">
        <v>2</v>
      </c>
      <c r="Z20" s="212"/>
      <c r="AA20" s="212"/>
      <c r="AB20" s="212"/>
      <c r="AC20" s="212"/>
      <c r="AD20" s="212"/>
      <c r="AE20" s="212"/>
      <c r="AF20" s="212">
        <v>1</v>
      </c>
      <c r="AG20" s="213">
        <v>1</v>
      </c>
      <c r="AH20" s="188"/>
      <c r="AI20" s="211">
        <v>8</v>
      </c>
      <c r="AJ20" s="339" t="str">
        <f t="shared" si="96"/>
        <v>SEG08</v>
      </c>
      <c r="AK20" s="212"/>
      <c r="AL20" s="212">
        <v>5</v>
      </c>
      <c r="AM20" s="212">
        <f>18+18+18+18+18</f>
        <v>90</v>
      </c>
      <c r="AN20" s="405">
        <f t="shared" si="113"/>
        <v>18</v>
      </c>
      <c r="AO20" s="406">
        <f t="shared" si="85"/>
        <v>1</v>
      </c>
      <c r="AP20" s="340" t="str">
        <f t="shared" si="97"/>
        <v>SEG08</v>
      </c>
      <c r="AQ20" s="212">
        <v>4</v>
      </c>
      <c r="AR20" s="212">
        <v>3</v>
      </c>
      <c r="AS20" s="212">
        <v>1</v>
      </c>
      <c r="AT20" s="212">
        <v>2</v>
      </c>
      <c r="AU20" s="212">
        <v>1</v>
      </c>
      <c r="AV20" s="223">
        <v>1</v>
      </c>
      <c r="AW20" s="213">
        <v>1</v>
      </c>
      <c r="AX20" s="188"/>
      <c r="AY20" s="211">
        <v>8</v>
      </c>
      <c r="AZ20" s="339" t="str">
        <f t="shared" si="98"/>
        <v>SEG08</v>
      </c>
      <c r="BA20" s="212">
        <v>6</v>
      </c>
      <c r="BB20" s="212">
        <v>0</v>
      </c>
      <c r="BC20" s="212">
        <v>0</v>
      </c>
      <c r="BD20" s="212" t="s">
        <v>170</v>
      </c>
      <c r="BE20" s="408" t="s">
        <v>170</v>
      </c>
      <c r="BF20" s="406" t="s">
        <v>170</v>
      </c>
      <c r="BG20" s="341" t="str">
        <f t="shared" si="87"/>
        <v>SEG08</v>
      </c>
      <c r="BH20" s="212">
        <v>1</v>
      </c>
      <c r="BI20" s="212" t="s">
        <v>170</v>
      </c>
      <c r="BJ20" s="212" t="s">
        <v>170</v>
      </c>
      <c r="BK20" s="212" t="s">
        <v>170</v>
      </c>
      <c r="BL20" s="212" t="s">
        <v>170</v>
      </c>
      <c r="BM20" s="212" t="s">
        <v>170</v>
      </c>
      <c r="BN20" s="223" t="s">
        <v>170</v>
      </c>
      <c r="BO20" s="212" t="s">
        <v>170</v>
      </c>
      <c r="BP20" s="213" t="s">
        <v>170</v>
      </c>
      <c r="BQ20" s="188"/>
      <c r="BR20" s="205">
        <v>8</v>
      </c>
      <c r="BS20" s="342" t="str">
        <f t="shared" si="99"/>
        <v>SEG08</v>
      </c>
      <c r="BT20" s="207"/>
      <c r="BU20" s="275"/>
      <c r="BV20" s="207"/>
      <c r="BW20" s="207"/>
      <c r="BX20" s="342" t="s">
        <v>170</v>
      </c>
      <c r="BY20" s="398" t="s">
        <v>170</v>
      </c>
      <c r="BZ20" s="342" t="str">
        <f t="shared" si="88"/>
        <v>SEG08</v>
      </c>
      <c r="CA20" s="207" t="s">
        <v>170</v>
      </c>
      <c r="CB20" s="207" t="s">
        <v>170</v>
      </c>
      <c r="CC20" s="207" t="s">
        <v>170</v>
      </c>
      <c r="CD20" s="207" t="s">
        <v>170</v>
      </c>
      <c r="CE20" s="207" t="s">
        <v>170</v>
      </c>
      <c r="CF20" s="217" t="s">
        <v>170</v>
      </c>
      <c r="CG20" s="195"/>
      <c r="CH20" s="205">
        <v>8</v>
      </c>
      <c r="CI20" s="207" t="str">
        <f t="shared" si="100"/>
        <v>SEG08</v>
      </c>
      <c r="CJ20" s="207"/>
      <c r="CK20" s="207"/>
      <c r="CL20" s="343" t="str">
        <f t="shared" si="101"/>
        <v>SEG08</v>
      </c>
      <c r="CM20" s="207"/>
      <c r="CN20" s="207"/>
      <c r="CO20" s="207"/>
      <c r="CP20" s="401">
        <f t="shared" si="89"/>
        <v>0</v>
      </c>
      <c r="CQ20" s="196"/>
      <c r="CR20" s="205">
        <v>8</v>
      </c>
      <c r="CS20" s="344" t="str">
        <f t="shared" si="108"/>
        <v>SEG08</v>
      </c>
      <c r="CT20" s="212">
        <v>1</v>
      </c>
      <c r="CU20" s="212">
        <v>3</v>
      </c>
      <c r="CV20" s="212">
        <v>1</v>
      </c>
      <c r="CW20" s="212">
        <v>1</v>
      </c>
      <c r="CX20" s="212">
        <v>1</v>
      </c>
      <c r="CY20" s="212">
        <v>1</v>
      </c>
      <c r="CZ20" s="212">
        <v>1</v>
      </c>
      <c r="DA20" s="212">
        <v>3</v>
      </c>
      <c r="DB20" s="212">
        <v>1</v>
      </c>
      <c r="DC20" s="212">
        <v>1</v>
      </c>
      <c r="DD20" s="212">
        <v>1</v>
      </c>
      <c r="DE20" s="212">
        <v>3</v>
      </c>
      <c r="DF20" s="212">
        <v>1</v>
      </c>
      <c r="DG20" s="212">
        <v>1</v>
      </c>
      <c r="DH20" s="212">
        <v>3</v>
      </c>
      <c r="DI20" s="212">
        <v>3</v>
      </c>
      <c r="DJ20" s="213">
        <v>1</v>
      </c>
      <c r="DK20" s="188"/>
      <c r="DL20" s="205">
        <v>8</v>
      </c>
      <c r="DM20" s="344" t="str">
        <f t="shared" si="102"/>
        <v>SEG08</v>
      </c>
      <c r="DN20" s="207">
        <v>1</v>
      </c>
      <c r="DO20" s="207">
        <v>1</v>
      </c>
      <c r="DP20" s="207">
        <v>1</v>
      </c>
      <c r="DQ20" s="632"/>
      <c r="DR20" s="637">
        <v>40242</v>
      </c>
      <c r="DS20" s="344" t="str">
        <f t="shared" si="90"/>
        <v>SEG08</v>
      </c>
      <c r="DT20" s="207">
        <v>18</v>
      </c>
      <c r="DU20" s="410">
        <f t="shared" si="91"/>
        <v>1</v>
      </c>
      <c r="DV20" s="207"/>
      <c r="DW20" s="207"/>
      <c r="DX20" s="222"/>
      <c r="DY20" s="217"/>
      <c r="DZ20" s="188"/>
      <c r="EA20" s="211">
        <v>8</v>
      </c>
      <c r="EB20" s="339" t="str">
        <f t="shared" si="109"/>
        <v>SEG08</v>
      </c>
      <c r="EC20" s="212">
        <v>0</v>
      </c>
      <c r="ED20" s="212">
        <v>0</v>
      </c>
      <c r="EE20" s="212">
        <v>0</v>
      </c>
      <c r="EF20" s="188"/>
      <c r="EG20" s="205">
        <v>8</v>
      </c>
      <c r="EH20" s="344" t="str">
        <f t="shared" si="103"/>
        <v>SEG08</v>
      </c>
      <c r="EI20" s="207">
        <v>53.475000000000001</v>
      </c>
      <c r="EJ20" s="207">
        <v>53.475000000000001</v>
      </c>
      <c r="EK20" s="410">
        <f t="shared" si="110"/>
        <v>1</v>
      </c>
      <c r="EL20" s="207">
        <v>53.475000000000001</v>
      </c>
      <c r="EM20" s="410">
        <f t="shared" si="111"/>
        <v>1</v>
      </c>
      <c r="EN20" s="207"/>
      <c r="EO20" s="207"/>
      <c r="EP20" s="207"/>
      <c r="EQ20" s="207"/>
      <c r="ER20" s="207"/>
      <c r="ES20" s="207"/>
      <c r="ET20" s="207"/>
      <c r="EU20" s="207"/>
      <c r="EV20" s="207"/>
      <c r="EW20" s="217"/>
      <c r="EX20" s="288">
        <v>0</v>
      </c>
      <c r="EY20" s="412" t="e">
        <f t="shared" si="112"/>
        <v>#DIV/0!</v>
      </c>
      <c r="EZ20" s="188"/>
      <c r="FA20" s="647" t="str">
        <f t="shared" si="92"/>
        <v>SEG08</v>
      </c>
      <c r="FB20" s="207">
        <v>74</v>
      </c>
      <c r="FC20" s="207">
        <v>213.75</v>
      </c>
      <c r="FD20" s="207">
        <v>1.173</v>
      </c>
      <c r="FE20" s="422">
        <f t="shared" si="93"/>
        <v>250.72875000000002</v>
      </c>
      <c r="FF20" s="207">
        <v>74</v>
      </c>
      <c r="FG20" s="207">
        <v>218.61</v>
      </c>
      <c r="FH20" s="652">
        <f t="shared" si="104"/>
        <v>2.9541891891891892</v>
      </c>
      <c r="FI20" s="207">
        <v>1.2</v>
      </c>
      <c r="FJ20" s="424">
        <f t="shared" si="115"/>
        <v>262.33199999999999</v>
      </c>
      <c r="FK20" s="205">
        <v>8</v>
      </c>
      <c r="FL20" s="657" t="str">
        <f t="shared" si="105"/>
        <v>SEG08</v>
      </c>
      <c r="FM20" s="207">
        <v>0</v>
      </c>
      <c r="FN20" s="222">
        <v>2</v>
      </c>
      <c r="FO20" s="222">
        <v>1</v>
      </c>
      <c r="FP20" s="222">
        <v>0</v>
      </c>
      <c r="FQ20" s="217">
        <v>1</v>
      </c>
    </row>
    <row r="21" spans="1:173" s="204" customFormat="1" ht="22.7" customHeight="1" x14ac:dyDescent="0.25">
      <c r="A21" s="590">
        <v>9</v>
      </c>
      <c r="B21" s="587" t="s">
        <v>691</v>
      </c>
      <c r="C21" s="212">
        <v>70</v>
      </c>
      <c r="D21" s="212">
        <v>71</v>
      </c>
      <c r="E21" s="601">
        <v>2</v>
      </c>
      <c r="F21" s="602">
        <f t="shared" si="94"/>
        <v>2.8169014084507043E-2</v>
      </c>
      <c r="G21" s="212">
        <v>11</v>
      </c>
      <c r="H21" s="617">
        <f>(56+31+58+28+29+42+33+48+31+32+29)/11</f>
        <v>37.909090909090907</v>
      </c>
      <c r="I21" s="212">
        <v>0</v>
      </c>
      <c r="J21" s="406">
        <f t="shared" si="80"/>
        <v>0</v>
      </c>
      <c r="K21" s="212">
        <v>0</v>
      </c>
      <c r="L21" s="406">
        <f t="shared" si="95"/>
        <v>0</v>
      </c>
      <c r="M21" s="212">
        <v>11</v>
      </c>
      <c r="N21" s="406">
        <f t="shared" si="81"/>
        <v>1</v>
      </c>
      <c r="O21" s="603">
        <v>3</v>
      </c>
      <c r="P21" s="406">
        <f t="shared" si="106"/>
        <v>1</v>
      </c>
      <c r="Q21" s="212">
        <v>0</v>
      </c>
      <c r="R21" s="406">
        <f t="shared" si="82"/>
        <v>0</v>
      </c>
      <c r="S21" s="212">
        <v>0</v>
      </c>
      <c r="T21" s="406">
        <f t="shared" si="83"/>
        <v>0</v>
      </c>
      <c r="U21" s="212">
        <v>0</v>
      </c>
      <c r="V21" s="406">
        <f t="shared" si="84"/>
        <v>0</v>
      </c>
      <c r="W21" s="593">
        <v>9</v>
      </c>
      <c r="X21" s="339" t="str">
        <f t="shared" si="107"/>
        <v>SEG09</v>
      </c>
      <c r="Y21" s="212">
        <v>2</v>
      </c>
      <c r="Z21" s="212">
        <v>2</v>
      </c>
      <c r="AA21" s="212" t="s">
        <v>170</v>
      </c>
      <c r="AB21" s="212" t="s">
        <v>170</v>
      </c>
      <c r="AC21" s="212">
        <v>2</v>
      </c>
      <c r="AD21" s="212" t="s">
        <v>170</v>
      </c>
      <c r="AE21" s="212" t="s">
        <v>170</v>
      </c>
      <c r="AF21" s="212">
        <v>1</v>
      </c>
      <c r="AG21" s="213">
        <v>1</v>
      </c>
      <c r="AH21" s="188"/>
      <c r="AI21" s="211">
        <v>9</v>
      </c>
      <c r="AJ21" s="339" t="str">
        <f t="shared" si="96"/>
        <v>SEG09</v>
      </c>
      <c r="AK21" s="212">
        <v>2</v>
      </c>
      <c r="AL21" s="212">
        <v>3</v>
      </c>
      <c r="AM21" s="212">
        <f>42+54+49</f>
        <v>145</v>
      </c>
      <c r="AN21" s="405">
        <f t="shared" si="113"/>
        <v>48.333333333333336</v>
      </c>
      <c r="AO21" s="406">
        <f t="shared" si="85"/>
        <v>0.68075117370892024</v>
      </c>
      <c r="AP21" s="340" t="str">
        <f t="shared" si="97"/>
        <v>SEG09</v>
      </c>
      <c r="AQ21" s="212">
        <v>4</v>
      </c>
      <c r="AR21" s="212">
        <v>2</v>
      </c>
      <c r="AS21" s="212">
        <v>1</v>
      </c>
      <c r="AT21" s="212">
        <v>1</v>
      </c>
      <c r="AU21" s="212">
        <v>1</v>
      </c>
      <c r="AV21" s="223">
        <v>0.51</v>
      </c>
      <c r="AW21" s="213">
        <v>1</v>
      </c>
      <c r="AX21" s="188"/>
      <c r="AY21" s="211">
        <v>9</v>
      </c>
      <c r="AZ21" s="339" t="str">
        <f t="shared" si="98"/>
        <v>SEG09</v>
      </c>
      <c r="BA21" s="212">
        <v>9</v>
      </c>
      <c r="BB21" s="212">
        <v>0</v>
      </c>
      <c r="BC21" s="212">
        <v>7</v>
      </c>
      <c r="BD21" s="212">
        <f>9+9+9+9+9+9+9</f>
        <v>63</v>
      </c>
      <c r="BE21" s="408">
        <f t="shared" si="114"/>
        <v>9</v>
      </c>
      <c r="BF21" s="406">
        <f t="shared" si="86"/>
        <v>1</v>
      </c>
      <c r="BG21" s="341" t="str">
        <f t="shared" si="87"/>
        <v>SEG09</v>
      </c>
      <c r="BH21" s="212">
        <v>1</v>
      </c>
      <c r="BI21" s="212">
        <v>3</v>
      </c>
      <c r="BJ21" s="212">
        <v>4</v>
      </c>
      <c r="BK21" s="212">
        <v>1</v>
      </c>
      <c r="BL21" s="212">
        <v>2</v>
      </c>
      <c r="BM21" s="212">
        <v>1</v>
      </c>
      <c r="BN21" s="223">
        <v>0.04</v>
      </c>
      <c r="BO21" s="212">
        <v>1</v>
      </c>
      <c r="BP21" s="213">
        <v>3</v>
      </c>
      <c r="BQ21" s="188"/>
      <c r="BR21" s="205">
        <v>9</v>
      </c>
      <c r="BS21" s="342" t="str">
        <f t="shared" si="99"/>
        <v>SEG09</v>
      </c>
      <c r="BT21" s="207">
        <v>2</v>
      </c>
      <c r="BU21" s="275">
        <v>0</v>
      </c>
      <c r="BV21" s="207">
        <v>2</v>
      </c>
      <c r="BW21" s="207">
        <v>4</v>
      </c>
      <c r="BX21" s="342" t="s">
        <v>170</v>
      </c>
      <c r="BY21" s="398" t="s">
        <v>170</v>
      </c>
      <c r="BZ21" s="342" t="str">
        <f t="shared" si="88"/>
        <v>SEG09</v>
      </c>
      <c r="CA21" s="207">
        <v>1</v>
      </c>
      <c r="CB21" s="207">
        <v>3</v>
      </c>
      <c r="CC21" s="207">
        <v>3</v>
      </c>
      <c r="CD21" s="207">
        <v>1</v>
      </c>
      <c r="CE21" s="207">
        <v>2</v>
      </c>
      <c r="CF21" s="217">
        <v>1</v>
      </c>
      <c r="CG21" s="195"/>
      <c r="CH21" s="205">
        <v>9</v>
      </c>
      <c r="CI21" s="207" t="str">
        <f t="shared" si="100"/>
        <v>SEG09</v>
      </c>
      <c r="CJ21" s="207">
        <v>3</v>
      </c>
      <c r="CK21" s="207">
        <v>1</v>
      </c>
      <c r="CL21" s="343" t="str">
        <f t="shared" si="101"/>
        <v>SEG09</v>
      </c>
      <c r="CM21" s="207">
        <v>4500</v>
      </c>
      <c r="CN21" s="207"/>
      <c r="CO21" s="207">
        <v>71</v>
      </c>
      <c r="CP21" s="401">
        <f t="shared" si="89"/>
        <v>1</v>
      </c>
      <c r="CQ21" s="196"/>
      <c r="CR21" s="205">
        <v>9</v>
      </c>
      <c r="CS21" s="344" t="str">
        <f t="shared" si="108"/>
        <v>SEG09</v>
      </c>
      <c r="CT21" s="212">
        <v>1</v>
      </c>
      <c r="CU21" s="212">
        <v>3</v>
      </c>
      <c r="CV21" s="212">
        <v>3</v>
      </c>
      <c r="CW21" s="212">
        <v>3</v>
      </c>
      <c r="CX21" s="212">
        <v>3</v>
      </c>
      <c r="CY21" s="212">
        <v>1</v>
      </c>
      <c r="CZ21" s="212">
        <v>1</v>
      </c>
      <c r="DA21" s="212">
        <v>3</v>
      </c>
      <c r="DB21" s="212">
        <v>1</v>
      </c>
      <c r="DC21" s="212">
        <v>1</v>
      </c>
      <c r="DD21" s="212">
        <v>1</v>
      </c>
      <c r="DE21" s="212">
        <v>3</v>
      </c>
      <c r="DF21" s="212">
        <v>1</v>
      </c>
      <c r="DG21" s="212">
        <v>1</v>
      </c>
      <c r="DH21" s="212">
        <v>2</v>
      </c>
      <c r="DI21" s="212">
        <v>2</v>
      </c>
      <c r="DJ21" s="213">
        <v>1</v>
      </c>
      <c r="DK21" s="188"/>
      <c r="DL21" s="205">
        <v>9</v>
      </c>
      <c r="DM21" s="344" t="str">
        <f t="shared" si="102"/>
        <v>SEG09</v>
      </c>
      <c r="DN21" s="207">
        <v>1</v>
      </c>
      <c r="DO21" s="207">
        <v>1</v>
      </c>
      <c r="DP21" s="207"/>
      <c r="DQ21" s="631"/>
      <c r="DR21" s="634">
        <v>40426</v>
      </c>
      <c r="DS21" s="344" t="str">
        <f t="shared" si="90"/>
        <v>SEG09</v>
      </c>
      <c r="DT21" s="207">
        <v>71</v>
      </c>
      <c r="DU21" s="410">
        <f t="shared" si="91"/>
        <v>1</v>
      </c>
      <c r="DV21" s="207"/>
      <c r="DW21" s="207"/>
      <c r="DX21" s="222"/>
      <c r="DY21" s="217"/>
      <c r="DZ21" s="188"/>
      <c r="EA21" s="639">
        <v>9</v>
      </c>
      <c r="EB21" s="585" t="str">
        <f t="shared" si="109"/>
        <v>SEG09</v>
      </c>
      <c r="EC21" s="212">
        <v>0</v>
      </c>
      <c r="ED21" s="212">
        <v>0</v>
      </c>
      <c r="EE21" s="212">
        <v>0</v>
      </c>
      <c r="EF21" s="188"/>
      <c r="EG21" s="205">
        <v>9</v>
      </c>
      <c r="EH21" s="344" t="str">
        <f t="shared" si="103"/>
        <v>SEG09</v>
      </c>
      <c r="EI21" s="207">
        <v>53.475000000000001</v>
      </c>
      <c r="EJ21" s="207">
        <v>53.475000000000001</v>
      </c>
      <c r="EK21" s="410">
        <f t="shared" si="110"/>
        <v>1</v>
      </c>
      <c r="EL21" s="207">
        <v>53.475000000000001</v>
      </c>
      <c r="EM21" s="410">
        <f t="shared" si="111"/>
        <v>1</v>
      </c>
      <c r="EN21" s="207"/>
      <c r="EO21" s="207"/>
      <c r="EP21" s="207"/>
      <c r="EQ21" s="207"/>
      <c r="ER21" s="207"/>
      <c r="ES21" s="207"/>
      <c r="ET21" s="207"/>
      <c r="EU21" s="207"/>
      <c r="EV21" s="207"/>
      <c r="EW21" s="217"/>
      <c r="EX21" s="288">
        <v>0</v>
      </c>
      <c r="EY21" s="412" t="e">
        <f t="shared" si="112"/>
        <v>#DIV/0!</v>
      </c>
      <c r="EZ21" s="188"/>
      <c r="FA21" s="648" t="str">
        <f t="shared" si="92"/>
        <v>SEG09</v>
      </c>
      <c r="FB21" s="207">
        <v>70</v>
      </c>
      <c r="FC21" s="207">
        <v>272.75</v>
      </c>
      <c r="FD21" s="207">
        <v>0.96</v>
      </c>
      <c r="FE21" s="422">
        <f t="shared" si="93"/>
        <v>261.83999999999997</v>
      </c>
      <c r="FF21" s="207">
        <v>70</v>
      </c>
      <c r="FG21" s="207">
        <v>284.08</v>
      </c>
      <c r="FH21" s="652">
        <f t="shared" si="104"/>
        <v>4.0582857142857138</v>
      </c>
      <c r="FI21" s="207">
        <v>1</v>
      </c>
      <c r="FJ21" s="424">
        <f t="shared" si="115"/>
        <v>284.08</v>
      </c>
      <c r="FK21" s="205">
        <v>9</v>
      </c>
      <c r="FL21" s="657" t="str">
        <f t="shared" si="105"/>
        <v>SEG09</v>
      </c>
      <c r="FM21" s="207">
        <v>0</v>
      </c>
      <c r="FN21" s="207">
        <v>0</v>
      </c>
      <c r="FO21" s="207">
        <v>0</v>
      </c>
      <c r="FP21" s="207">
        <v>0</v>
      </c>
      <c r="FQ21" s="217">
        <v>1</v>
      </c>
    </row>
    <row r="22" spans="1:173" s="204" customFormat="1" ht="22.7" customHeight="1" x14ac:dyDescent="0.25">
      <c r="A22" s="590">
        <v>10</v>
      </c>
      <c r="B22" s="587" t="s">
        <v>692</v>
      </c>
      <c r="C22" s="212">
        <v>40</v>
      </c>
      <c r="D22" s="212">
        <v>47</v>
      </c>
      <c r="E22" s="601">
        <v>3</v>
      </c>
      <c r="F22" s="602">
        <f t="shared" si="94"/>
        <v>6.3829787234042548E-2</v>
      </c>
      <c r="G22" s="212">
        <v>11</v>
      </c>
      <c r="H22" s="617">
        <f>(55+45+45+40+35+45+43+43+39+45+40)/11</f>
        <v>43.18181818181818</v>
      </c>
      <c r="I22" s="212">
        <v>0</v>
      </c>
      <c r="J22" s="406">
        <f t="shared" si="80"/>
        <v>0</v>
      </c>
      <c r="K22" s="212">
        <v>0</v>
      </c>
      <c r="L22" s="406">
        <f t="shared" si="95"/>
        <v>0</v>
      </c>
      <c r="M22" s="212">
        <v>0</v>
      </c>
      <c r="N22" s="406">
        <f t="shared" si="81"/>
        <v>0</v>
      </c>
      <c r="O22" s="603">
        <v>0</v>
      </c>
      <c r="P22" s="406">
        <f t="shared" si="106"/>
        <v>0</v>
      </c>
      <c r="Q22" s="212">
        <v>0</v>
      </c>
      <c r="R22" s="406">
        <f t="shared" si="82"/>
        <v>0</v>
      </c>
      <c r="S22" s="212">
        <v>0</v>
      </c>
      <c r="T22" s="406">
        <f t="shared" si="83"/>
        <v>0</v>
      </c>
      <c r="U22" s="212">
        <v>0</v>
      </c>
      <c r="V22" s="618">
        <f t="shared" si="84"/>
        <v>0</v>
      </c>
      <c r="W22" s="211">
        <v>10</v>
      </c>
      <c r="X22" s="339" t="str">
        <f t="shared" si="107"/>
        <v>SEG10</v>
      </c>
      <c r="Y22" s="212">
        <v>2</v>
      </c>
      <c r="Z22" s="212"/>
      <c r="AA22" s="212"/>
      <c r="AB22" s="212"/>
      <c r="AC22" s="212"/>
      <c r="AD22" s="212"/>
      <c r="AE22" s="212"/>
      <c r="AF22" s="212">
        <v>1</v>
      </c>
      <c r="AG22" s="213">
        <v>1</v>
      </c>
      <c r="AH22" s="188"/>
      <c r="AI22" s="211">
        <v>10</v>
      </c>
      <c r="AJ22" s="339" t="str">
        <f t="shared" si="96"/>
        <v>SEG10</v>
      </c>
      <c r="AK22" s="212">
        <v>4</v>
      </c>
      <c r="AL22" s="212">
        <v>6</v>
      </c>
      <c r="AM22" s="226">
        <f>40+31+27+19+15+25</f>
        <v>157</v>
      </c>
      <c r="AN22" s="405">
        <f t="shared" si="113"/>
        <v>26.166666666666668</v>
      </c>
      <c r="AO22" s="406">
        <f t="shared" si="85"/>
        <v>0.55673758865248224</v>
      </c>
      <c r="AP22" s="340" t="str">
        <f t="shared" si="97"/>
        <v>SEG10</v>
      </c>
      <c r="AQ22" s="212">
        <v>4</v>
      </c>
      <c r="AR22" s="212">
        <v>3</v>
      </c>
      <c r="AS22" s="212">
        <v>1</v>
      </c>
      <c r="AT22" s="212">
        <v>1</v>
      </c>
      <c r="AU22" s="212">
        <v>1</v>
      </c>
      <c r="AV22" s="223">
        <v>0.51</v>
      </c>
      <c r="AW22" s="213">
        <v>2</v>
      </c>
      <c r="AX22" s="188"/>
      <c r="AY22" s="211">
        <v>10</v>
      </c>
      <c r="AZ22" s="339" t="str">
        <f t="shared" si="98"/>
        <v>SEG10</v>
      </c>
      <c r="BA22" s="212">
        <v>9</v>
      </c>
      <c r="BB22" s="212">
        <v>0</v>
      </c>
      <c r="BC22" s="212">
        <v>2</v>
      </c>
      <c r="BD22" s="212"/>
      <c r="BE22" s="408"/>
      <c r="BF22" s="406"/>
      <c r="BG22" s="341" t="str">
        <f t="shared" si="87"/>
        <v>SEG10</v>
      </c>
      <c r="BH22" s="212">
        <v>1</v>
      </c>
      <c r="BI22" s="212">
        <v>0</v>
      </c>
      <c r="BJ22" s="212">
        <v>4</v>
      </c>
      <c r="BK22" s="212">
        <v>1</v>
      </c>
      <c r="BL22" s="212">
        <v>1</v>
      </c>
      <c r="BM22" s="212">
        <v>1</v>
      </c>
      <c r="BN22" s="223">
        <v>0.04</v>
      </c>
      <c r="BO22" s="212">
        <v>1</v>
      </c>
      <c r="BP22" s="213">
        <v>4</v>
      </c>
      <c r="BQ22" s="188"/>
      <c r="BR22" s="205">
        <v>10</v>
      </c>
      <c r="BS22" s="342" t="str">
        <f t="shared" si="99"/>
        <v>SEG10</v>
      </c>
      <c r="BT22" s="207">
        <v>2</v>
      </c>
      <c r="BU22" s="275">
        <v>0</v>
      </c>
      <c r="BV22" s="207"/>
      <c r="BW22" s="420" t="s">
        <v>170</v>
      </c>
      <c r="BX22" s="342" t="s">
        <v>170</v>
      </c>
      <c r="BY22" s="398" t="s">
        <v>170</v>
      </c>
      <c r="BZ22" s="342" t="str">
        <f t="shared" si="88"/>
        <v>SEG10</v>
      </c>
      <c r="CA22" s="207">
        <v>1</v>
      </c>
      <c r="CB22" s="207" t="s">
        <v>170</v>
      </c>
      <c r="CC22" s="207" t="s">
        <v>170</v>
      </c>
      <c r="CD22" s="207" t="s">
        <v>170</v>
      </c>
      <c r="CE22" s="207" t="s">
        <v>170</v>
      </c>
      <c r="CF22" s="207" t="s">
        <v>170</v>
      </c>
      <c r="CG22" s="195"/>
      <c r="CH22" s="205">
        <v>10</v>
      </c>
      <c r="CI22" s="207" t="str">
        <f t="shared" si="100"/>
        <v>SEG10</v>
      </c>
      <c r="CJ22" s="207">
        <v>3</v>
      </c>
      <c r="CK22" s="207">
        <v>1</v>
      </c>
      <c r="CL22" s="343" t="str">
        <f t="shared" si="101"/>
        <v>SEG10</v>
      </c>
      <c r="CM22" s="207">
        <v>4500</v>
      </c>
      <c r="CN22" s="207">
        <v>5</v>
      </c>
      <c r="CO22" s="207">
        <v>47</v>
      </c>
      <c r="CP22" s="401">
        <f t="shared" si="89"/>
        <v>1</v>
      </c>
      <c r="CQ22" s="196"/>
      <c r="CR22" s="205">
        <v>10</v>
      </c>
      <c r="CS22" s="344" t="str">
        <f t="shared" si="108"/>
        <v>SEG10</v>
      </c>
      <c r="CT22" s="212">
        <v>1</v>
      </c>
      <c r="CU22" s="212">
        <v>3</v>
      </c>
      <c r="CV22" s="212">
        <v>1</v>
      </c>
      <c r="CW22" s="212">
        <v>1</v>
      </c>
      <c r="CX22" s="212">
        <v>1</v>
      </c>
      <c r="CY22" s="212">
        <v>1</v>
      </c>
      <c r="CZ22" s="212">
        <v>1</v>
      </c>
      <c r="DA22" s="212">
        <v>1</v>
      </c>
      <c r="DB22" s="212">
        <v>1</v>
      </c>
      <c r="DC22" s="212">
        <v>1</v>
      </c>
      <c r="DD22" s="212">
        <v>1</v>
      </c>
      <c r="DE22" s="212">
        <v>3</v>
      </c>
      <c r="DF22" s="212">
        <v>1</v>
      </c>
      <c r="DG22" s="212">
        <v>1</v>
      </c>
      <c r="DH22" s="212">
        <v>2</v>
      </c>
      <c r="DI22" s="212">
        <v>2</v>
      </c>
      <c r="DJ22" s="213">
        <v>1</v>
      </c>
      <c r="DK22" s="188"/>
      <c r="DL22" s="205">
        <v>10</v>
      </c>
      <c r="DM22" s="344" t="str">
        <f t="shared" si="102"/>
        <v>SEG10</v>
      </c>
      <c r="DN22" s="207">
        <v>1</v>
      </c>
      <c r="DO22" s="207">
        <v>1</v>
      </c>
      <c r="DP22" s="207">
        <v>1</v>
      </c>
      <c r="DQ22" s="207"/>
      <c r="DR22" s="635">
        <v>40303</v>
      </c>
      <c r="DS22" s="344" t="str">
        <f t="shared" si="90"/>
        <v>SEG10</v>
      </c>
      <c r="DT22" s="207">
        <v>35</v>
      </c>
      <c r="DU22" s="410">
        <f t="shared" si="91"/>
        <v>0.74468085106382975</v>
      </c>
      <c r="DV22" s="207"/>
      <c r="DW22" s="207"/>
      <c r="DX22" s="222"/>
      <c r="DY22" s="217"/>
      <c r="DZ22" s="188"/>
      <c r="EA22" s="640">
        <v>10</v>
      </c>
      <c r="EB22" s="587" t="str">
        <f t="shared" si="109"/>
        <v>SEG10</v>
      </c>
      <c r="EC22" s="212">
        <v>0</v>
      </c>
      <c r="ED22" s="212">
        <v>0</v>
      </c>
      <c r="EE22" s="212">
        <v>0</v>
      </c>
      <c r="EF22" s="188"/>
      <c r="EG22" s="205">
        <v>10</v>
      </c>
      <c r="EH22" s="344" t="str">
        <f t="shared" si="103"/>
        <v>SEG10</v>
      </c>
      <c r="EI22" s="207">
        <v>70.45</v>
      </c>
      <c r="EJ22" s="207">
        <v>48.125</v>
      </c>
      <c r="EK22" s="410">
        <f t="shared" si="110"/>
        <v>0.68310858765081617</v>
      </c>
      <c r="EL22" s="207">
        <v>48.125</v>
      </c>
      <c r="EM22" s="410">
        <f t="shared" si="111"/>
        <v>0.68310858765081617</v>
      </c>
      <c r="EN22" s="207"/>
      <c r="EO22" s="207"/>
      <c r="EP22" s="207"/>
      <c r="EQ22" s="207"/>
      <c r="ER22" s="207"/>
      <c r="ES22" s="207"/>
      <c r="ET22" s="207"/>
      <c r="EU22" s="207"/>
      <c r="EV22" s="207"/>
      <c r="EW22" s="217"/>
      <c r="EX22" s="288">
        <v>0</v>
      </c>
      <c r="EY22" s="412" t="e">
        <f t="shared" si="112"/>
        <v>#DIV/0!</v>
      </c>
      <c r="EZ22" s="188"/>
      <c r="FA22" s="646" t="str">
        <f t="shared" si="92"/>
        <v>SEG10</v>
      </c>
      <c r="FB22" s="207">
        <v>46</v>
      </c>
      <c r="FC22" s="207">
        <v>167.75</v>
      </c>
      <c r="FD22" s="207">
        <v>0.95</v>
      </c>
      <c r="FE22" s="422">
        <f t="shared" si="93"/>
        <v>159.36249999999998</v>
      </c>
      <c r="FF22" s="207">
        <v>47</v>
      </c>
      <c r="FG22" s="207">
        <v>194.06</v>
      </c>
      <c r="FH22" s="654">
        <f t="shared" si="104"/>
        <v>4.128936170212766</v>
      </c>
      <c r="FI22" s="653">
        <v>1.1000000000000001</v>
      </c>
      <c r="FJ22" s="424">
        <f t="shared" si="115"/>
        <v>213.46600000000001</v>
      </c>
      <c r="FK22" s="205">
        <v>10</v>
      </c>
      <c r="FL22" s="657" t="str">
        <f t="shared" si="105"/>
        <v>SEG10</v>
      </c>
      <c r="FM22" s="207">
        <v>1</v>
      </c>
      <c r="FN22" s="222">
        <v>0</v>
      </c>
      <c r="FO22" s="222">
        <v>2</v>
      </c>
      <c r="FP22" s="222">
        <v>0</v>
      </c>
      <c r="FQ22" s="217">
        <v>2</v>
      </c>
    </row>
    <row r="23" spans="1:173" s="204" customFormat="1" ht="22.5" customHeight="1" x14ac:dyDescent="0.25">
      <c r="A23" s="591">
        <v>11</v>
      </c>
      <c r="B23" s="339" t="s">
        <v>693</v>
      </c>
      <c r="C23" s="212">
        <v>35</v>
      </c>
      <c r="D23" s="212">
        <v>70</v>
      </c>
      <c r="E23" s="601">
        <v>8</v>
      </c>
      <c r="F23" s="602">
        <f t="shared" ref="F23:F27" si="116">E23/D23</f>
        <v>0.11428571428571428</v>
      </c>
      <c r="G23" s="212">
        <v>11</v>
      </c>
      <c r="H23" s="617">
        <f>+(32+32+35+45+38+40+30+45+33+38+30)/11</f>
        <v>36.18181818181818</v>
      </c>
      <c r="I23" s="212">
        <v>5</v>
      </c>
      <c r="J23" s="215">
        <f t="shared" ref="J23:J27" si="117">I23/G23</f>
        <v>0.45454545454545453</v>
      </c>
      <c r="K23" s="212">
        <v>2</v>
      </c>
      <c r="L23" s="406">
        <f t="shared" ref="L23:L27" si="118">+K23/3</f>
        <v>0.66666666666666663</v>
      </c>
      <c r="M23" s="212">
        <v>3</v>
      </c>
      <c r="N23" s="406">
        <f t="shared" ref="N23:N27" si="119">M23/G23</f>
        <v>0.27272727272727271</v>
      </c>
      <c r="O23" s="603">
        <v>1</v>
      </c>
      <c r="P23" s="406">
        <f t="shared" ref="P23:P27" si="120">+O23/3</f>
        <v>0.33333333333333331</v>
      </c>
      <c r="Q23" s="212">
        <v>0</v>
      </c>
      <c r="R23" s="406">
        <f t="shared" ref="R23:R27" si="121">+Q23/G23</f>
        <v>0</v>
      </c>
      <c r="S23" s="212">
        <v>0</v>
      </c>
      <c r="T23" s="406">
        <f t="shared" ref="T23:T27" si="122">S23/G23</f>
        <v>0</v>
      </c>
      <c r="U23" s="212">
        <v>0</v>
      </c>
      <c r="V23" s="618">
        <f t="shared" ref="V23:V27" si="123">U23/G23</f>
        <v>0</v>
      </c>
      <c r="W23" s="211">
        <v>11</v>
      </c>
      <c r="X23" s="339" t="str">
        <f t="shared" ref="X23:X27" si="124">+B23</f>
        <v>SEG11</v>
      </c>
      <c r="Y23" s="212">
        <v>2</v>
      </c>
      <c r="Z23" s="212">
        <v>2</v>
      </c>
      <c r="AA23" s="212" t="s">
        <v>170</v>
      </c>
      <c r="AB23" s="212" t="s">
        <v>170</v>
      </c>
      <c r="AC23" s="212">
        <v>2</v>
      </c>
      <c r="AD23" s="212" t="s">
        <v>170</v>
      </c>
      <c r="AE23" s="212" t="s">
        <v>170</v>
      </c>
      <c r="AF23" s="212">
        <v>1</v>
      </c>
      <c r="AG23" s="574">
        <v>1</v>
      </c>
      <c r="AH23" s="575"/>
      <c r="AI23" s="211">
        <v>11</v>
      </c>
      <c r="AJ23" s="339" t="str">
        <f>+X23</f>
        <v>SEG11</v>
      </c>
      <c r="AK23" s="212">
        <v>3</v>
      </c>
      <c r="AL23" s="212">
        <v>5</v>
      </c>
      <c r="AM23" s="212">
        <f>82+33+58+31+40</f>
        <v>244</v>
      </c>
      <c r="AN23" s="405">
        <f t="shared" ref="AN23:AN27" si="125">+AM23/AL23</f>
        <v>48.8</v>
      </c>
      <c r="AO23" s="406">
        <f t="shared" si="85"/>
        <v>0.69714285714285706</v>
      </c>
      <c r="AP23" s="340" t="str">
        <f t="shared" ref="AP23:AP27" si="126">+AJ23</f>
        <v>SEG11</v>
      </c>
      <c r="AQ23" s="212">
        <v>1</v>
      </c>
      <c r="AR23" s="212">
        <v>3</v>
      </c>
      <c r="AS23" s="212">
        <v>1</v>
      </c>
      <c r="AT23" s="212">
        <v>2</v>
      </c>
      <c r="AU23" s="212">
        <v>1</v>
      </c>
      <c r="AV23" s="223">
        <v>0.6428571428571429</v>
      </c>
      <c r="AW23" s="213"/>
      <c r="AX23" s="188"/>
      <c r="AY23" s="211">
        <v>11</v>
      </c>
      <c r="AZ23" s="339" t="str">
        <f t="shared" ref="AZ23:AZ27" si="127">+AJ23</f>
        <v>SEG11</v>
      </c>
      <c r="BA23" s="212">
        <v>9</v>
      </c>
      <c r="BB23" s="212">
        <v>0</v>
      </c>
      <c r="BC23" s="212">
        <v>3</v>
      </c>
      <c r="BD23" s="212">
        <v>27</v>
      </c>
      <c r="BE23" s="405">
        <f t="shared" ref="BE23:BE25" si="128">BD23/BC23</f>
        <v>9</v>
      </c>
      <c r="BF23" s="406">
        <f t="shared" ref="BF23:BF27" si="129">BE23/BA23</f>
        <v>1</v>
      </c>
      <c r="BG23" s="341" t="str">
        <f>+AZ23</f>
        <v>SEG11</v>
      </c>
      <c r="BH23" s="212">
        <v>2</v>
      </c>
      <c r="BI23" s="212">
        <v>3</v>
      </c>
      <c r="BJ23" s="212">
        <v>3</v>
      </c>
      <c r="BK23" s="212">
        <v>1</v>
      </c>
      <c r="BL23" s="212">
        <v>2</v>
      </c>
      <c r="BM23" s="212">
        <v>1</v>
      </c>
      <c r="BN23" s="223">
        <v>1</v>
      </c>
      <c r="BO23" s="212">
        <v>1</v>
      </c>
      <c r="BP23" s="213">
        <v>2</v>
      </c>
      <c r="BQ23" s="188"/>
      <c r="BR23" s="205">
        <v>11</v>
      </c>
      <c r="BS23" s="342" t="str">
        <f t="shared" ref="BS23:BS27" si="130">+AZ23</f>
        <v>SEG11</v>
      </c>
      <c r="BT23" s="207">
        <v>2</v>
      </c>
      <c r="BU23" s="275">
        <v>0</v>
      </c>
      <c r="BV23" s="207">
        <v>3</v>
      </c>
      <c r="BW23" s="207">
        <v>6</v>
      </c>
      <c r="BX23" s="342">
        <f>+BW23/BV23</f>
        <v>2</v>
      </c>
      <c r="BY23" s="398">
        <f>BX23/BT23</f>
        <v>1</v>
      </c>
      <c r="BZ23" s="342" t="str">
        <f>+BS23</f>
        <v>SEG11</v>
      </c>
      <c r="CA23" s="207">
        <v>1</v>
      </c>
      <c r="CB23" s="207">
        <v>3</v>
      </c>
      <c r="CC23" s="207">
        <v>3</v>
      </c>
      <c r="CD23" s="207">
        <v>1</v>
      </c>
      <c r="CE23" s="207">
        <v>2</v>
      </c>
      <c r="CF23" s="217">
        <v>1</v>
      </c>
      <c r="CG23" s="195"/>
      <c r="CH23" s="205">
        <v>11</v>
      </c>
      <c r="CI23" s="422" t="str">
        <f t="shared" ref="CI23:CI27" si="131">BS23</f>
        <v>SEG11</v>
      </c>
      <c r="CJ23" s="207">
        <v>3</v>
      </c>
      <c r="CK23" s="207"/>
      <c r="CL23" s="343" t="str">
        <f t="shared" ref="CL23:CL27" si="132">+CI23</f>
        <v>SEG11</v>
      </c>
      <c r="CM23" s="218"/>
      <c r="CN23" s="207"/>
      <c r="CO23" s="207">
        <v>70</v>
      </c>
      <c r="CP23" s="401">
        <f t="shared" si="89"/>
        <v>1</v>
      </c>
      <c r="CQ23" s="196"/>
      <c r="CR23" s="205">
        <v>11</v>
      </c>
      <c r="CS23" s="344" t="str">
        <f t="shared" ref="CS23:CS27" si="133">CI23</f>
        <v>SEG11</v>
      </c>
      <c r="CT23" s="212">
        <v>1</v>
      </c>
      <c r="CU23" s="212">
        <v>3</v>
      </c>
      <c r="CV23" s="212">
        <v>3</v>
      </c>
      <c r="CW23" s="212">
        <v>1</v>
      </c>
      <c r="CX23" s="212">
        <v>1</v>
      </c>
      <c r="CY23" s="212">
        <v>1</v>
      </c>
      <c r="CZ23" s="212">
        <v>1</v>
      </c>
      <c r="DA23" s="212">
        <v>2</v>
      </c>
      <c r="DB23" s="212">
        <v>1</v>
      </c>
      <c r="DC23" s="212">
        <v>1</v>
      </c>
      <c r="DD23" s="212">
        <v>1</v>
      </c>
      <c r="DE23" s="212">
        <v>3</v>
      </c>
      <c r="DF23" s="212">
        <v>1</v>
      </c>
      <c r="DG23" s="212">
        <v>1</v>
      </c>
      <c r="DH23" s="212">
        <v>3</v>
      </c>
      <c r="DI23" s="212">
        <v>1</v>
      </c>
      <c r="DJ23" s="213">
        <v>1</v>
      </c>
      <c r="DK23" s="188"/>
      <c r="DL23" s="205">
        <v>11</v>
      </c>
      <c r="DM23" s="344" t="str">
        <f t="shared" ref="DM23:DM27" si="134">+CS23</f>
        <v>SEG11</v>
      </c>
      <c r="DN23" s="207">
        <v>1</v>
      </c>
      <c r="DO23" s="207">
        <v>1</v>
      </c>
      <c r="DP23" s="207"/>
      <c r="DQ23" s="207"/>
      <c r="DR23" s="637">
        <v>40242</v>
      </c>
      <c r="DS23" s="344" t="str">
        <f t="shared" ref="DS23:DS27" si="135">+DM23</f>
        <v>SEG11</v>
      </c>
      <c r="DT23" s="207">
        <v>75</v>
      </c>
      <c r="DU23" s="410">
        <f t="shared" si="91"/>
        <v>1.0714285714285714</v>
      </c>
      <c r="DV23" s="207"/>
      <c r="DW23" s="207"/>
      <c r="DX23" s="222"/>
      <c r="DY23" s="217"/>
      <c r="DZ23" s="188"/>
      <c r="EA23" s="211">
        <v>11</v>
      </c>
      <c r="EB23" s="339" t="str">
        <f t="shared" ref="EB23:EB27" si="136">EH23</f>
        <v>SEG11</v>
      </c>
      <c r="EC23" s="212">
        <v>0</v>
      </c>
      <c r="ED23" s="212">
        <v>0</v>
      </c>
      <c r="EE23" s="212">
        <v>0</v>
      </c>
      <c r="EF23" s="188"/>
      <c r="EG23" s="205">
        <v>11</v>
      </c>
      <c r="EH23" s="344" t="str">
        <f t="shared" ref="EH23:EH27" si="137">+BS23</f>
        <v>SEG11</v>
      </c>
      <c r="EI23" s="207">
        <v>78.45</v>
      </c>
      <c r="EJ23" s="207">
        <v>78.45</v>
      </c>
      <c r="EK23" s="410">
        <f t="shared" ref="EK23:EK27" si="138">EJ23/EI23</f>
        <v>1</v>
      </c>
      <c r="EL23" s="207">
        <v>78.45</v>
      </c>
      <c r="EM23" s="410">
        <f t="shared" ref="EM23:EM27" si="139">EL23/EI23</f>
        <v>1</v>
      </c>
      <c r="EN23" s="207"/>
      <c r="EO23" s="207"/>
      <c r="EP23" s="207"/>
      <c r="EQ23" s="207"/>
      <c r="ER23" s="207"/>
      <c r="ES23" s="207"/>
      <c r="ET23" s="207"/>
      <c r="EU23" s="207"/>
      <c r="EV23" s="207"/>
      <c r="EW23" s="217"/>
      <c r="EX23" s="288">
        <v>0</v>
      </c>
      <c r="EY23" s="412"/>
      <c r="EZ23" s="188"/>
      <c r="FA23" s="646" t="str">
        <f t="shared" ref="FA23:FA27" si="140">EH23</f>
        <v>SEG11</v>
      </c>
      <c r="FB23" s="207">
        <v>85</v>
      </c>
      <c r="FC23" s="207">
        <v>256</v>
      </c>
      <c r="FD23" s="207">
        <v>0.84499999999999997</v>
      </c>
      <c r="FE23" s="422">
        <f>+FD23*FC23</f>
        <v>216.32</v>
      </c>
      <c r="FF23" s="207">
        <v>70</v>
      </c>
      <c r="FG23" s="207">
        <v>308.93</v>
      </c>
      <c r="FH23" s="655">
        <f t="shared" ref="FH23:FH27" si="141">FG23/FF23</f>
        <v>4.4132857142857143</v>
      </c>
      <c r="FI23" s="207">
        <v>1.02</v>
      </c>
      <c r="FJ23" s="421">
        <f>+FI23*FG23</f>
        <v>315.10860000000002</v>
      </c>
      <c r="FK23" s="205">
        <v>11</v>
      </c>
      <c r="FL23" s="657" t="str">
        <f t="shared" ref="FL23:FL27" si="142">FA23</f>
        <v>SEG11</v>
      </c>
      <c r="FM23" s="207">
        <v>1</v>
      </c>
      <c r="FN23" s="222">
        <v>0</v>
      </c>
      <c r="FO23" s="222">
        <v>0</v>
      </c>
      <c r="FP23" s="222">
        <v>0</v>
      </c>
      <c r="FQ23" s="217">
        <v>2</v>
      </c>
    </row>
    <row r="24" spans="1:173" s="204" customFormat="1" ht="22.5" customHeight="1" x14ac:dyDescent="0.25">
      <c r="A24" s="590">
        <v>12</v>
      </c>
      <c r="B24" s="339" t="s">
        <v>694</v>
      </c>
      <c r="C24" s="212">
        <v>27</v>
      </c>
      <c r="D24" s="212">
        <v>80</v>
      </c>
      <c r="E24" s="601">
        <v>5</v>
      </c>
      <c r="F24" s="619">
        <f t="shared" si="116"/>
        <v>6.25E-2</v>
      </c>
      <c r="G24" s="212">
        <v>11</v>
      </c>
      <c r="H24" s="617">
        <f>+(34+45+35+35+36+30+48+33+34+36)/11</f>
        <v>33.272727272727273</v>
      </c>
      <c r="I24" s="212">
        <v>4</v>
      </c>
      <c r="J24" s="215">
        <f t="shared" si="117"/>
        <v>0.36363636363636365</v>
      </c>
      <c r="K24" s="212">
        <v>3</v>
      </c>
      <c r="L24" s="406">
        <f t="shared" si="118"/>
        <v>1</v>
      </c>
      <c r="M24" s="212">
        <v>1</v>
      </c>
      <c r="N24" s="406">
        <f t="shared" si="119"/>
        <v>9.0909090909090912E-2</v>
      </c>
      <c r="O24" s="603">
        <v>0</v>
      </c>
      <c r="P24" s="406">
        <f t="shared" si="120"/>
        <v>0</v>
      </c>
      <c r="Q24" s="212">
        <v>0</v>
      </c>
      <c r="R24" s="406">
        <f t="shared" si="121"/>
        <v>0</v>
      </c>
      <c r="S24" s="212">
        <v>0</v>
      </c>
      <c r="T24" s="406">
        <f t="shared" si="122"/>
        <v>0</v>
      </c>
      <c r="U24" s="212">
        <v>0</v>
      </c>
      <c r="V24" s="618">
        <f t="shared" si="123"/>
        <v>0</v>
      </c>
      <c r="W24" s="211">
        <v>12</v>
      </c>
      <c r="X24" s="339" t="str">
        <f t="shared" si="124"/>
        <v>SEG12</v>
      </c>
      <c r="Y24" s="212">
        <v>2</v>
      </c>
      <c r="Z24" s="212"/>
      <c r="AA24" s="212"/>
      <c r="AB24" s="212"/>
      <c r="AC24" s="212"/>
      <c r="AD24" s="212"/>
      <c r="AE24" s="212"/>
      <c r="AF24" s="212">
        <v>1</v>
      </c>
      <c r="AG24" s="574">
        <v>1</v>
      </c>
      <c r="AH24" s="575"/>
      <c r="AI24" s="211">
        <v>12</v>
      </c>
      <c r="AJ24" s="339" t="str">
        <f>+X24</f>
        <v>SEG12</v>
      </c>
      <c r="AK24" s="226"/>
      <c r="AL24" s="212">
        <v>2</v>
      </c>
      <c r="AM24" s="212">
        <v>86</v>
      </c>
      <c r="AN24" s="405">
        <f t="shared" si="125"/>
        <v>43</v>
      </c>
      <c r="AO24" s="406">
        <f t="shared" si="85"/>
        <v>0.53749999999999998</v>
      </c>
      <c r="AP24" s="340" t="str">
        <f t="shared" si="126"/>
        <v>SEG12</v>
      </c>
      <c r="AQ24" s="212">
        <v>4</v>
      </c>
      <c r="AR24" s="212">
        <v>3</v>
      </c>
      <c r="AS24" s="212">
        <v>1</v>
      </c>
      <c r="AT24" s="212">
        <v>2</v>
      </c>
      <c r="AU24" s="212">
        <v>1</v>
      </c>
      <c r="AV24" s="223">
        <v>0.51</v>
      </c>
      <c r="AW24" s="213"/>
      <c r="AX24" s="188"/>
      <c r="AY24" s="211">
        <v>12</v>
      </c>
      <c r="AZ24" s="339" t="str">
        <f t="shared" si="127"/>
        <v>SEG12</v>
      </c>
      <c r="BA24" s="212">
        <v>9</v>
      </c>
      <c r="BB24" s="212">
        <v>0</v>
      </c>
      <c r="BC24" s="212">
        <v>3</v>
      </c>
      <c r="BD24" s="212">
        <v>23</v>
      </c>
      <c r="BE24" s="405">
        <f t="shared" si="128"/>
        <v>7.666666666666667</v>
      </c>
      <c r="BF24" s="406">
        <f t="shared" si="129"/>
        <v>0.85185185185185186</v>
      </c>
      <c r="BG24" s="341" t="str">
        <f>+AZ24</f>
        <v>SEG12</v>
      </c>
      <c r="BH24" s="212">
        <v>2</v>
      </c>
      <c r="BI24" s="212">
        <v>3</v>
      </c>
      <c r="BJ24" s="212">
        <v>3</v>
      </c>
      <c r="BK24" s="212">
        <v>3</v>
      </c>
      <c r="BL24" s="212">
        <v>2</v>
      </c>
      <c r="BM24" s="212">
        <v>1</v>
      </c>
      <c r="BN24" s="223">
        <v>0.88888888888888884</v>
      </c>
      <c r="BO24" s="212">
        <v>2</v>
      </c>
      <c r="BP24" s="213">
        <v>2</v>
      </c>
      <c r="BQ24" s="188"/>
      <c r="BR24" s="205">
        <v>12</v>
      </c>
      <c r="BS24" s="342" t="str">
        <f t="shared" si="130"/>
        <v>SEG12</v>
      </c>
      <c r="BT24" s="207">
        <v>2</v>
      </c>
      <c r="BU24" s="275">
        <v>0</v>
      </c>
      <c r="BV24" s="207">
        <v>2</v>
      </c>
      <c r="BW24" s="207"/>
      <c r="BX24" s="342">
        <f>+BW24/BV24</f>
        <v>0</v>
      </c>
      <c r="BY24" s="398">
        <f>BX24/BT24</f>
        <v>0</v>
      </c>
      <c r="BZ24" s="342" t="str">
        <f>+BS24</f>
        <v>SEG12</v>
      </c>
      <c r="CA24" s="207">
        <v>2</v>
      </c>
      <c r="CB24" s="207">
        <v>3</v>
      </c>
      <c r="CC24" s="207">
        <v>3</v>
      </c>
      <c r="CD24" s="207">
        <v>2</v>
      </c>
      <c r="CE24" s="207">
        <v>2</v>
      </c>
      <c r="CF24" s="217">
        <v>2</v>
      </c>
      <c r="CG24" s="195"/>
      <c r="CH24" s="205">
        <v>12</v>
      </c>
      <c r="CI24" s="422" t="str">
        <f t="shared" si="131"/>
        <v>SEG12</v>
      </c>
      <c r="CJ24" s="207">
        <v>3</v>
      </c>
      <c r="CK24" s="207">
        <v>1</v>
      </c>
      <c r="CL24" s="343" t="str">
        <f t="shared" si="132"/>
        <v>SEG12</v>
      </c>
      <c r="CM24" s="207"/>
      <c r="CN24" s="207"/>
      <c r="CO24" s="207">
        <v>80</v>
      </c>
      <c r="CP24" s="401">
        <f t="shared" si="89"/>
        <v>1</v>
      </c>
      <c r="CQ24" s="196"/>
      <c r="CR24" s="205">
        <v>12</v>
      </c>
      <c r="CS24" s="344" t="str">
        <f t="shared" si="133"/>
        <v>SEG12</v>
      </c>
      <c r="CT24" s="212">
        <v>1</v>
      </c>
      <c r="CU24" s="212">
        <v>3</v>
      </c>
      <c r="CV24" s="212">
        <v>3</v>
      </c>
      <c r="CW24" s="212">
        <v>3</v>
      </c>
      <c r="CX24" s="212">
        <v>1</v>
      </c>
      <c r="CY24" s="212">
        <v>1</v>
      </c>
      <c r="CZ24" s="212">
        <v>1</v>
      </c>
      <c r="DA24" s="212">
        <v>3</v>
      </c>
      <c r="DB24" s="212">
        <v>1</v>
      </c>
      <c r="DC24" s="212">
        <v>1</v>
      </c>
      <c r="DD24" s="212">
        <v>1</v>
      </c>
      <c r="DE24" s="212">
        <v>3</v>
      </c>
      <c r="DF24" s="212">
        <v>1</v>
      </c>
      <c r="DG24" s="212">
        <v>1</v>
      </c>
      <c r="DH24" s="212">
        <v>3</v>
      </c>
      <c r="DI24" s="212">
        <v>1</v>
      </c>
      <c r="DJ24" s="213">
        <v>3</v>
      </c>
      <c r="DK24" s="188"/>
      <c r="DL24" s="205">
        <v>12</v>
      </c>
      <c r="DM24" s="344" t="str">
        <f t="shared" si="134"/>
        <v>SEG12</v>
      </c>
      <c r="DN24" s="207">
        <v>2</v>
      </c>
      <c r="DO24" s="207">
        <v>1</v>
      </c>
      <c r="DP24" s="207">
        <v>1</v>
      </c>
      <c r="DQ24" s="207"/>
      <c r="DR24" s="637">
        <v>40303</v>
      </c>
      <c r="DS24" s="344" t="str">
        <f t="shared" si="135"/>
        <v>SEG12</v>
      </c>
      <c r="DT24" s="207">
        <v>72</v>
      </c>
      <c r="DU24" s="410">
        <f t="shared" si="91"/>
        <v>0.9</v>
      </c>
      <c r="DV24" s="207"/>
      <c r="DW24" s="207"/>
      <c r="DX24" s="222"/>
      <c r="DY24" s="217"/>
      <c r="DZ24" s="188"/>
      <c r="EA24" s="639">
        <v>12</v>
      </c>
      <c r="EB24" s="585" t="str">
        <f t="shared" si="136"/>
        <v>SEG12</v>
      </c>
      <c r="EC24" s="212">
        <v>0</v>
      </c>
      <c r="ED24" s="212">
        <v>0</v>
      </c>
      <c r="EE24" s="212">
        <v>0</v>
      </c>
      <c r="EF24" s="188"/>
      <c r="EG24" s="205">
        <v>12</v>
      </c>
      <c r="EH24" s="344" t="str">
        <f t="shared" si="137"/>
        <v>SEG12</v>
      </c>
      <c r="EI24" s="207">
        <v>61.2</v>
      </c>
      <c r="EJ24" s="207">
        <v>61.2</v>
      </c>
      <c r="EK24" s="410">
        <f t="shared" si="138"/>
        <v>1</v>
      </c>
      <c r="EL24" s="207">
        <v>61.2</v>
      </c>
      <c r="EM24" s="410">
        <f t="shared" si="139"/>
        <v>1</v>
      </c>
      <c r="EN24" s="207"/>
      <c r="EO24" s="207"/>
      <c r="EP24" s="207"/>
      <c r="EQ24" s="207"/>
      <c r="ER24" s="207"/>
      <c r="ES24" s="207"/>
      <c r="ET24" s="207"/>
      <c r="EU24" s="207"/>
      <c r="EV24" s="207"/>
      <c r="EW24" s="217"/>
      <c r="EX24" s="288">
        <v>0</v>
      </c>
      <c r="EY24" s="412" t="e">
        <f t="shared" ref="EY24:EY27" si="143">EX24/EW24</f>
        <v>#DIV/0!</v>
      </c>
      <c r="EZ24" s="188"/>
      <c r="FA24" s="646" t="str">
        <f t="shared" si="140"/>
        <v>SEG12</v>
      </c>
      <c r="FB24" s="207">
        <v>70</v>
      </c>
      <c r="FC24" s="207">
        <v>205.25</v>
      </c>
      <c r="FD24" s="207">
        <v>0.90300000000000002</v>
      </c>
      <c r="FE24" s="422">
        <f>+FD24*FC24</f>
        <v>185.34075000000001</v>
      </c>
      <c r="FF24" s="207">
        <v>80</v>
      </c>
      <c r="FG24" s="207">
        <v>231.64</v>
      </c>
      <c r="FH24" s="652">
        <f t="shared" si="141"/>
        <v>2.8954999999999997</v>
      </c>
      <c r="FI24" s="207">
        <v>1.02</v>
      </c>
      <c r="FJ24" s="421">
        <f>+FI24*FG24</f>
        <v>236.27279999999999</v>
      </c>
      <c r="FK24" s="205">
        <v>12</v>
      </c>
      <c r="FL24" s="657" t="str">
        <f t="shared" si="142"/>
        <v>SEG12</v>
      </c>
      <c r="FM24" s="207">
        <v>1</v>
      </c>
      <c r="FN24" s="222">
        <v>0</v>
      </c>
      <c r="FO24" s="222">
        <v>0</v>
      </c>
      <c r="FP24" s="222">
        <v>0</v>
      </c>
      <c r="FQ24" s="217">
        <v>2</v>
      </c>
    </row>
    <row r="25" spans="1:173" s="204" customFormat="1" ht="22.5" customHeight="1" x14ac:dyDescent="0.25">
      <c r="A25" s="590">
        <v>13</v>
      </c>
      <c r="B25" s="339" t="s">
        <v>695</v>
      </c>
      <c r="C25" s="212">
        <v>25</v>
      </c>
      <c r="D25" s="212">
        <v>49</v>
      </c>
      <c r="E25" s="601">
        <v>0</v>
      </c>
      <c r="F25" s="619">
        <f t="shared" si="116"/>
        <v>0</v>
      </c>
      <c r="G25" s="212">
        <v>11</v>
      </c>
      <c r="H25" s="617">
        <f>+(35+32+25+50+35+45+45+45+40+45)/10</f>
        <v>39.700000000000003</v>
      </c>
      <c r="I25" s="212">
        <v>1</v>
      </c>
      <c r="J25" s="215">
        <f t="shared" si="117"/>
        <v>9.0909090909090912E-2</v>
      </c>
      <c r="K25" s="212">
        <v>1</v>
      </c>
      <c r="L25" s="406">
        <f t="shared" si="118"/>
        <v>0.33333333333333331</v>
      </c>
      <c r="M25" s="212">
        <v>1</v>
      </c>
      <c r="N25" s="406">
        <f t="shared" si="119"/>
        <v>9.0909090909090912E-2</v>
      </c>
      <c r="O25" s="603">
        <v>0</v>
      </c>
      <c r="P25" s="406">
        <f t="shared" si="120"/>
        <v>0</v>
      </c>
      <c r="Q25" s="212">
        <v>0</v>
      </c>
      <c r="R25" s="406">
        <f t="shared" si="121"/>
        <v>0</v>
      </c>
      <c r="S25" s="212">
        <v>0</v>
      </c>
      <c r="T25" s="406">
        <f t="shared" si="122"/>
        <v>0</v>
      </c>
      <c r="U25" s="212">
        <v>0</v>
      </c>
      <c r="V25" s="618">
        <f t="shared" si="123"/>
        <v>0</v>
      </c>
      <c r="W25" s="211">
        <v>13</v>
      </c>
      <c r="X25" s="339" t="str">
        <f t="shared" si="124"/>
        <v>SEG13</v>
      </c>
      <c r="Y25" s="212">
        <v>2</v>
      </c>
      <c r="Z25" s="212">
        <v>2</v>
      </c>
      <c r="AA25" s="212" t="s">
        <v>170</v>
      </c>
      <c r="AB25" s="212" t="s">
        <v>170</v>
      </c>
      <c r="AC25" s="212">
        <v>2</v>
      </c>
      <c r="AD25" s="212" t="s">
        <v>170</v>
      </c>
      <c r="AE25" s="212" t="s">
        <v>170</v>
      </c>
      <c r="AF25" s="212">
        <v>1</v>
      </c>
      <c r="AG25" s="213">
        <v>1</v>
      </c>
      <c r="AH25" s="188"/>
      <c r="AI25" s="211">
        <v>13</v>
      </c>
      <c r="AJ25" s="339" t="str">
        <f>+X25</f>
        <v>SEG13</v>
      </c>
      <c r="AK25" s="212"/>
      <c r="AL25" s="212">
        <v>2</v>
      </c>
      <c r="AM25" s="212">
        <v>50</v>
      </c>
      <c r="AN25" s="405">
        <f t="shared" si="125"/>
        <v>25</v>
      </c>
      <c r="AO25" s="406">
        <f t="shared" si="85"/>
        <v>0.51020408163265307</v>
      </c>
      <c r="AP25" s="340" t="str">
        <f t="shared" si="126"/>
        <v>SEG13</v>
      </c>
      <c r="AQ25" s="212">
        <v>1</v>
      </c>
      <c r="AR25" s="212">
        <v>3</v>
      </c>
      <c r="AS25" s="212">
        <v>1</v>
      </c>
      <c r="AT25" s="212">
        <v>2</v>
      </c>
      <c r="AU25" s="212">
        <v>1</v>
      </c>
      <c r="AV25" s="223">
        <v>0.51</v>
      </c>
      <c r="AW25" s="213"/>
      <c r="AX25" s="188"/>
      <c r="AY25" s="211">
        <v>13</v>
      </c>
      <c r="AZ25" s="339" t="str">
        <f t="shared" si="127"/>
        <v>SEG13</v>
      </c>
      <c r="BA25" s="212">
        <v>9</v>
      </c>
      <c r="BB25" s="212">
        <v>0</v>
      </c>
      <c r="BC25" s="212">
        <v>3</v>
      </c>
      <c r="BD25" s="212">
        <v>27</v>
      </c>
      <c r="BE25" s="405">
        <f t="shared" si="128"/>
        <v>9</v>
      </c>
      <c r="BF25" s="406">
        <f t="shared" si="129"/>
        <v>1</v>
      </c>
      <c r="BG25" s="341" t="str">
        <f>+AZ25</f>
        <v>SEG13</v>
      </c>
      <c r="BH25" s="212">
        <v>2</v>
      </c>
      <c r="BI25" s="212">
        <v>3</v>
      </c>
      <c r="BJ25" s="212">
        <v>3</v>
      </c>
      <c r="BK25" s="212">
        <v>3</v>
      </c>
      <c r="BL25" s="212">
        <v>2</v>
      </c>
      <c r="BM25" s="212">
        <v>1</v>
      </c>
      <c r="BN25" s="223">
        <v>0.66666666666666663</v>
      </c>
      <c r="BO25" s="212">
        <v>2</v>
      </c>
      <c r="BP25" s="213">
        <v>2</v>
      </c>
      <c r="BQ25" s="188"/>
      <c r="BR25" s="205">
        <v>13</v>
      </c>
      <c r="BS25" s="342" t="str">
        <f t="shared" si="130"/>
        <v>SEG13</v>
      </c>
      <c r="BT25" s="207">
        <v>2</v>
      </c>
      <c r="BU25" s="275">
        <v>0</v>
      </c>
      <c r="BV25" s="207">
        <v>2</v>
      </c>
      <c r="BW25" s="207"/>
      <c r="BX25" s="342">
        <f t="shared" ref="BX25" si="144">+BW25/BV25</f>
        <v>0</v>
      </c>
      <c r="BY25" s="398">
        <f t="shared" ref="BY25" si="145">BX25/BT25</f>
        <v>0</v>
      </c>
      <c r="BZ25" s="342" t="str">
        <f>+BS25</f>
        <v>SEG13</v>
      </c>
      <c r="CA25" s="207">
        <v>2</v>
      </c>
      <c r="CB25" s="207">
        <v>3</v>
      </c>
      <c r="CC25" s="207">
        <v>3</v>
      </c>
      <c r="CD25" s="207">
        <v>2</v>
      </c>
      <c r="CE25" s="207">
        <v>2</v>
      </c>
      <c r="CF25" s="217">
        <v>2</v>
      </c>
      <c r="CG25" s="195"/>
      <c r="CH25" s="205">
        <v>13</v>
      </c>
      <c r="CI25" s="422" t="str">
        <f t="shared" si="131"/>
        <v>SEG13</v>
      </c>
      <c r="CJ25" s="207">
        <v>3</v>
      </c>
      <c r="CK25" s="207">
        <v>1</v>
      </c>
      <c r="CL25" s="343" t="str">
        <f t="shared" si="132"/>
        <v>SEG13</v>
      </c>
      <c r="CM25" s="207">
        <v>2000</v>
      </c>
      <c r="CN25" s="207"/>
      <c r="CO25" s="207"/>
      <c r="CP25" s="401">
        <f t="shared" si="89"/>
        <v>0</v>
      </c>
      <c r="CQ25" s="196"/>
      <c r="CR25" s="205">
        <v>13</v>
      </c>
      <c r="CS25" s="344" t="str">
        <f t="shared" si="133"/>
        <v>SEG13</v>
      </c>
      <c r="CT25" s="212">
        <v>1</v>
      </c>
      <c r="CU25" s="212">
        <v>3</v>
      </c>
      <c r="CV25" s="212">
        <v>3</v>
      </c>
      <c r="CW25" s="212">
        <v>3</v>
      </c>
      <c r="CX25" s="212">
        <v>1</v>
      </c>
      <c r="CY25" s="212">
        <v>1</v>
      </c>
      <c r="CZ25" s="212">
        <v>1</v>
      </c>
      <c r="DA25" s="212">
        <v>3</v>
      </c>
      <c r="DB25" s="212">
        <v>1</v>
      </c>
      <c r="DC25" s="212">
        <v>1</v>
      </c>
      <c r="DD25" s="212">
        <v>1</v>
      </c>
      <c r="DE25" s="212">
        <v>3</v>
      </c>
      <c r="DF25" s="212">
        <v>1</v>
      </c>
      <c r="DG25" s="212">
        <v>1</v>
      </c>
      <c r="DH25" s="212">
        <v>3</v>
      </c>
      <c r="DI25" s="212">
        <v>1</v>
      </c>
      <c r="DJ25" s="213">
        <v>3</v>
      </c>
      <c r="DK25" s="188"/>
      <c r="DL25" s="205">
        <v>13</v>
      </c>
      <c r="DM25" s="344" t="str">
        <f t="shared" si="134"/>
        <v>SEG13</v>
      </c>
      <c r="DN25" s="207">
        <v>2</v>
      </c>
      <c r="DO25" s="207">
        <v>1</v>
      </c>
      <c r="DP25" s="207"/>
      <c r="DQ25" s="207"/>
      <c r="DR25" s="634">
        <v>40303</v>
      </c>
      <c r="DS25" s="344" t="str">
        <f t="shared" si="135"/>
        <v>SEG13</v>
      </c>
      <c r="DT25" s="207"/>
      <c r="DU25" s="410">
        <f t="shared" si="91"/>
        <v>0</v>
      </c>
      <c r="DV25" s="207"/>
      <c r="DW25" s="207"/>
      <c r="DX25" s="222"/>
      <c r="DY25" s="217"/>
      <c r="DZ25" s="188"/>
      <c r="EA25" s="640">
        <v>13</v>
      </c>
      <c r="EB25" s="587" t="str">
        <f t="shared" si="136"/>
        <v>SEG13</v>
      </c>
      <c r="EC25" s="212">
        <v>0</v>
      </c>
      <c r="ED25" s="212">
        <v>0</v>
      </c>
      <c r="EE25" s="212">
        <v>0</v>
      </c>
      <c r="EF25" s="188"/>
      <c r="EG25" s="205">
        <v>13</v>
      </c>
      <c r="EH25" s="344" t="str">
        <f t="shared" si="137"/>
        <v>SEG13</v>
      </c>
      <c r="EI25" s="207">
        <v>81.25</v>
      </c>
      <c r="EJ25" s="207">
        <v>81.849999999999994</v>
      </c>
      <c r="EK25" s="410">
        <f t="shared" si="138"/>
        <v>1.0073846153846153</v>
      </c>
      <c r="EL25" s="207">
        <v>81.849999999999994</v>
      </c>
      <c r="EM25" s="410">
        <f t="shared" si="139"/>
        <v>1.0073846153846153</v>
      </c>
      <c r="EN25" s="207"/>
      <c r="EO25" s="207"/>
      <c r="EP25" s="207"/>
      <c r="EQ25" s="207"/>
      <c r="ER25" s="207"/>
      <c r="ES25" s="207"/>
      <c r="ET25" s="207"/>
      <c r="EU25" s="207"/>
      <c r="EV25" s="207"/>
      <c r="EW25" s="217"/>
      <c r="EX25" s="288">
        <v>0</v>
      </c>
      <c r="EY25" s="412"/>
      <c r="EZ25" s="188"/>
      <c r="FA25" s="646" t="str">
        <f t="shared" si="140"/>
        <v>SEG13</v>
      </c>
      <c r="FB25" s="207">
        <v>50</v>
      </c>
      <c r="FC25" s="207">
        <v>121.25</v>
      </c>
      <c r="FD25" s="207">
        <v>1.109</v>
      </c>
      <c r="FE25" s="422">
        <f>+FD25*FC25</f>
        <v>134.46625</v>
      </c>
      <c r="FF25" s="207">
        <v>49</v>
      </c>
      <c r="FG25" s="207">
        <v>125.75</v>
      </c>
      <c r="FH25" s="651">
        <f t="shared" si="141"/>
        <v>2.5663265306122449</v>
      </c>
      <c r="FI25" s="207">
        <v>1.1499999999999999</v>
      </c>
      <c r="FJ25" s="421">
        <f>+FI25*FG25</f>
        <v>144.61249999999998</v>
      </c>
      <c r="FK25" s="205">
        <v>13</v>
      </c>
      <c r="FL25" s="657" t="str">
        <f t="shared" si="142"/>
        <v>SEG13</v>
      </c>
      <c r="FM25" s="207">
        <v>1</v>
      </c>
      <c r="FN25" s="222">
        <v>10</v>
      </c>
      <c r="FO25" s="222">
        <v>2</v>
      </c>
      <c r="FP25" s="222">
        <v>0</v>
      </c>
      <c r="FQ25" s="217">
        <v>1</v>
      </c>
    </row>
    <row r="26" spans="1:173" s="204" customFormat="1" ht="22.5" customHeight="1" x14ac:dyDescent="0.25">
      <c r="A26" s="590">
        <v>14</v>
      </c>
      <c r="B26" s="585" t="s">
        <v>696</v>
      </c>
      <c r="C26" s="212">
        <v>9</v>
      </c>
      <c r="D26" s="212">
        <v>220</v>
      </c>
      <c r="E26" s="601">
        <v>0</v>
      </c>
      <c r="F26" s="619">
        <f t="shared" si="116"/>
        <v>0</v>
      </c>
      <c r="G26" s="212">
        <v>11</v>
      </c>
      <c r="H26" s="617">
        <f>+(40+30+35+27+28+50+41+30+25+25+30)/11</f>
        <v>32.81818181818182</v>
      </c>
      <c r="I26" s="212">
        <v>0</v>
      </c>
      <c r="J26" s="215">
        <f t="shared" si="117"/>
        <v>0</v>
      </c>
      <c r="K26" s="212">
        <v>0</v>
      </c>
      <c r="L26" s="406">
        <f t="shared" si="118"/>
        <v>0</v>
      </c>
      <c r="M26" s="212">
        <v>0</v>
      </c>
      <c r="N26" s="406">
        <f t="shared" si="119"/>
        <v>0</v>
      </c>
      <c r="O26" s="603">
        <v>0</v>
      </c>
      <c r="P26" s="406">
        <f t="shared" si="120"/>
        <v>0</v>
      </c>
      <c r="Q26" s="212">
        <v>0</v>
      </c>
      <c r="R26" s="406">
        <f t="shared" si="121"/>
        <v>0</v>
      </c>
      <c r="S26" s="212">
        <v>0</v>
      </c>
      <c r="T26" s="406">
        <f t="shared" si="122"/>
        <v>0</v>
      </c>
      <c r="U26" s="212">
        <v>0</v>
      </c>
      <c r="V26" s="618">
        <f t="shared" si="123"/>
        <v>0</v>
      </c>
      <c r="W26" s="211">
        <v>14</v>
      </c>
      <c r="X26" s="339" t="str">
        <f t="shared" si="124"/>
        <v>SEG14</v>
      </c>
      <c r="Y26" s="212">
        <v>2</v>
      </c>
      <c r="Z26" s="212"/>
      <c r="AA26" s="212"/>
      <c r="AB26" s="212"/>
      <c r="AC26" s="212"/>
      <c r="AD26" s="212"/>
      <c r="AE26" s="212"/>
      <c r="AF26" s="212">
        <v>1</v>
      </c>
      <c r="AG26" s="574">
        <v>1</v>
      </c>
      <c r="AH26" s="575"/>
      <c r="AI26" s="211">
        <v>14</v>
      </c>
      <c r="AJ26" s="339" t="str">
        <f>+X26</f>
        <v>SEG14</v>
      </c>
      <c r="AK26" s="212">
        <v>2</v>
      </c>
      <c r="AL26" s="212">
        <v>3</v>
      </c>
      <c r="AM26" s="212">
        <f>150+200+90</f>
        <v>440</v>
      </c>
      <c r="AN26" s="405">
        <f t="shared" si="125"/>
        <v>146.66666666666666</v>
      </c>
      <c r="AO26" s="406">
        <f t="shared" si="85"/>
        <v>0.66666666666666663</v>
      </c>
      <c r="AP26" s="340" t="str">
        <f t="shared" si="126"/>
        <v>SEG14</v>
      </c>
      <c r="AQ26" s="212">
        <v>4</v>
      </c>
      <c r="AR26" s="212">
        <v>2</v>
      </c>
      <c r="AS26" s="212">
        <v>1</v>
      </c>
      <c r="AT26" s="212">
        <v>1</v>
      </c>
      <c r="AU26" s="212">
        <v>1</v>
      </c>
      <c r="AV26" s="223">
        <v>0.51</v>
      </c>
      <c r="AW26" s="213"/>
      <c r="AX26" s="188"/>
      <c r="AY26" s="211">
        <v>14</v>
      </c>
      <c r="AZ26" s="339" t="str">
        <f t="shared" si="127"/>
        <v>SEG14</v>
      </c>
      <c r="BA26" s="212">
        <v>9</v>
      </c>
      <c r="BB26" s="212">
        <v>0</v>
      </c>
      <c r="BC26" s="212"/>
      <c r="BD26" s="212"/>
      <c r="BE26" s="405"/>
      <c r="BF26" s="406">
        <f t="shared" si="129"/>
        <v>0</v>
      </c>
      <c r="BG26" s="341" t="str">
        <f>+AZ26</f>
        <v>SEG14</v>
      </c>
      <c r="BH26" s="212">
        <v>2</v>
      </c>
      <c r="BI26" s="212" t="s">
        <v>711</v>
      </c>
      <c r="BJ26" s="212">
        <v>2</v>
      </c>
      <c r="BK26" s="212">
        <v>1</v>
      </c>
      <c r="BL26" s="212">
        <v>2</v>
      </c>
      <c r="BM26" s="212">
        <v>1</v>
      </c>
      <c r="BN26" s="223">
        <f>6/9</f>
        <v>0.66666666666666663</v>
      </c>
      <c r="BO26" s="212">
        <v>1</v>
      </c>
      <c r="BP26" s="213"/>
      <c r="BQ26" s="188"/>
      <c r="BR26" s="205">
        <v>14</v>
      </c>
      <c r="BS26" s="342" t="str">
        <f t="shared" si="130"/>
        <v>SEG14</v>
      </c>
      <c r="BT26" s="207">
        <v>2</v>
      </c>
      <c r="BU26" s="275">
        <v>0</v>
      </c>
      <c r="BV26" s="207">
        <v>0</v>
      </c>
      <c r="BW26" s="207" t="s">
        <v>170</v>
      </c>
      <c r="BX26" s="342" t="s">
        <v>170</v>
      </c>
      <c r="BY26" s="398" t="s">
        <v>170</v>
      </c>
      <c r="BZ26" s="342" t="str">
        <f>+BS26</f>
        <v>SEG14</v>
      </c>
      <c r="CA26" s="207">
        <v>1</v>
      </c>
      <c r="CB26" s="207" t="s">
        <v>170</v>
      </c>
      <c r="CC26" s="207" t="s">
        <v>170</v>
      </c>
      <c r="CD26" s="207" t="s">
        <v>170</v>
      </c>
      <c r="CE26" s="207" t="s">
        <v>170</v>
      </c>
      <c r="CF26" s="217" t="s">
        <v>170</v>
      </c>
      <c r="CG26" s="195"/>
      <c r="CH26" s="205">
        <v>14</v>
      </c>
      <c r="CI26" s="422" t="str">
        <f t="shared" si="131"/>
        <v>SEG14</v>
      </c>
      <c r="CJ26" s="207">
        <v>3</v>
      </c>
      <c r="CK26" s="207">
        <v>1</v>
      </c>
      <c r="CL26" s="343" t="str">
        <f t="shared" si="132"/>
        <v>SEG14</v>
      </c>
      <c r="CM26" s="207"/>
      <c r="CN26" s="207"/>
      <c r="CO26" s="207"/>
      <c r="CP26" s="401">
        <f t="shared" si="89"/>
        <v>0</v>
      </c>
      <c r="CQ26" s="196"/>
      <c r="CR26" s="205">
        <v>14</v>
      </c>
      <c r="CS26" s="344" t="str">
        <f t="shared" si="133"/>
        <v>SEG14</v>
      </c>
      <c r="CT26" s="212">
        <v>1</v>
      </c>
      <c r="CU26" s="212">
        <v>3</v>
      </c>
      <c r="CV26" s="212">
        <v>3</v>
      </c>
      <c r="CW26" s="212">
        <v>3</v>
      </c>
      <c r="CX26" s="212">
        <v>1</v>
      </c>
      <c r="CY26" s="212">
        <v>1</v>
      </c>
      <c r="CZ26" s="212">
        <v>1</v>
      </c>
      <c r="DA26" s="212">
        <v>3</v>
      </c>
      <c r="DB26" s="212">
        <v>1</v>
      </c>
      <c r="DC26" s="212">
        <v>1</v>
      </c>
      <c r="DD26" s="212">
        <v>1</v>
      </c>
      <c r="DE26" s="212">
        <v>3</v>
      </c>
      <c r="DF26" s="212">
        <v>1</v>
      </c>
      <c r="DG26" s="212">
        <v>1</v>
      </c>
      <c r="DH26" s="212">
        <v>3</v>
      </c>
      <c r="DI26" s="212">
        <v>3</v>
      </c>
      <c r="DJ26" s="213">
        <v>3</v>
      </c>
      <c r="DK26" s="188"/>
      <c r="DL26" s="205">
        <v>14</v>
      </c>
      <c r="DM26" s="344" t="str">
        <f t="shared" si="134"/>
        <v>SEG14</v>
      </c>
      <c r="DN26" s="207">
        <v>1</v>
      </c>
      <c r="DO26" s="207">
        <v>1</v>
      </c>
      <c r="DP26" s="207"/>
      <c r="DQ26" s="207"/>
      <c r="DR26" s="635">
        <v>40456</v>
      </c>
      <c r="DS26" s="344" t="str">
        <f t="shared" si="135"/>
        <v>SEG14</v>
      </c>
      <c r="DT26" s="207">
        <v>190</v>
      </c>
      <c r="DU26" s="410">
        <f t="shared" si="91"/>
        <v>0.86363636363636365</v>
      </c>
      <c r="DV26" s="207"/>
      <c r="DW26" s="207"/>
      <c r="DX26" s="222"/>
      <c r="DY26" s="217"/>
      <c r="DZ26" s="188"/>
      <c r="EA26" s="640">
        <v>14</v>
      </c>
      <c r="EB26" s="339" t="str">
        <f t="shared" si="136"/>
        <v>SEG14</v>
      </c>
      <c r="EC26" s="212">
        <v>0</v>
      </c>
      <c r="ED26" s="212">
        <v>0</v>
      </c>
      <c r="EE26" s="212">
        <v>0</v>
      </c>
      <c r="EF26" s="188"/>
      <c r="EG26" s="205">
        <v>14</v>
      </c>
      <c r="EH26" s="344" t="str">
        <f t="shared" si="137"/>
        <v>SEG14</v>
      </c>
      <c r="EI26" s="207">
        <v>130</v>
      </c>
      <c r="EJ26" s="207">
        <v>132</v>
      </c>
      <c r="EK26" s="410">
        <f t="shared" si="138"/>
        <v>1.0153846153846153</v>
      </c>
      <c r="EL26" s="207">
        <v>132</v>
      </c>
      <c r="EM26" s="410">
        <f t="shared" si="139"/>
        <v>1.0153846153846153</v>
      </c>
      <c r="EN26" s="207"/>
      <c r="EO26" s="207"/>
      <c r="EP26" s="207"/>
      <c r="EQ26" s="207"/>
      <c r="ER26" s="207"/>
      <c r="ES26" s="207"/>
      <c r="ET26" s="207"/>
      <c r="EU26" s="207"/>
      <c r="EV26" s="207"/>
      <c r="EW26" s="217"/>
      <c r="EX26" s="288">
        <v>0</v>
      </c>
      <c r="EY26" s="412" t="e">
        <f t="shared" si="143"/>
        <v>#DIV/0!</v>
      </c>
      <c r="EZ26" s="188"/>
      <c r="FA26" s="646" t="str">
        <f t="shared" si="140"/>
        <v>SEG14</v>
      </c>
      <c r="FB26" s="207">
        <v>220</v>
      </c>
      <c r="FC26" s="207">
        <v>521</v>
      </c>
      <c r="FD26" s="207">
        <v>1.085</v>
      </c>
      <c r="FE26" s="422">
        <f>+FD26*FC26</f>
        <v>565.28499999999997</v>
      </c>
      <c r="FF26" s="207">
        <v>220</v>
      </c>
      <c r="FG26" s="207">
        <v>624.1</v>
      </c>
      <c r="FH26" s="651">
        <f t="shared" si="141"/>
        <v>2.8368181818181819</v>
      </c>
      <c r="FI26" s="207">
        <v>1.3</v>
      </c>
      <c r="FJ26" s="421">
        <f>+FI26*FG26</f>
        <v>811.33</v>
      </c>
      <c r="FK26" s="205">
        <v>14</v>
      </c>
      <c r="FL26" s="656" t="str">
        <f t="shared" si="142"/>
        <v>SEG14</v>
      </c>
      <c r="FM26" s="207">
        <v>1</v>
      </c>
      <c r="FN26" s="222">
        <v>4</v>
      </c>
      <c r="FO26" s="222">
        <v>1</v>
      </c>
      <c r="FP26" s="222">
        <v>0</v>
      </c>
      <c r="FQ26" s="217">
        <v>1</v>
      </c>
    </row>
    <row r="27" spans="1:173" s="204" customFormat="1" ht="22.5" customHeight="1" thickBot="1" x14ac:dyDescent="0.3">
      <c r="A27" s="589">
        <v>15</v>
      </c>
      <c r="B27" s="345" t="s">
        <v>697</v>
      </c>
      <c r="C27" s="620">
        <v>109</v>
      </c>
      <c r="D27" s="620">
        <v>187</v>
      </c>
      <c r="E27" s="611">
        <v>0</v>
      </c>
      <c r="F27" s="628">
        <f t="shared" si="116"/>
        <v>0</v>
      </c>
      <c r="G27" s="620">
        <v>11</v>
      </c>
      <c r="H27" s="621">
        <f>+(42+40+40+32+35+33+43+38+30+40+35)/11</f>
        <v>37.090909090909093</v>
      </c>
      <c r="I27" s="586">
        <v>0</v>
      </c>
      <c r="J27" s="622">
        <f t="shared" si="117"/>
        <v>0</v>
      </c>
      <c r="K27" s="620">
        <v>0</v>
      </c>
      <c r="L27" s="623">
        <f t="shared" si="118"/>
        <v>0</v>
      </c>
      <c r="M27" s="620">
        <v>0</v>
      </c>
      <c r="N27" s="623">
        <f t="shared" si="119"/>
        <v>0</v>
      </c>
      <c r="O27" s="624">
        <v>0</v>
      </c>
      <c r="P27" s="623">
        <f t="shared" si="120"/>
        <v>0</v>
      </c>
      <c r="Q27" s="620">
        <v>0</v>
      </c>
      <c r="R27" s="623">
        <f t="shared" si="121"/>
        <v>0</v>
      </c>
      <c r="S27" s="620">
        <v>0</v>
      </c>
      <c r="T27" s="623">
        <f t="shared" si="122"/>
        <v>0</v>
      </c>
      <c r="U27" s="620">
        <v>0</v>
      </c>
      <c r="V27" s="625">
        <f t="shared" si="123"/>
        <v>0</v>
      </c>
      <c r="W27" s="232">
        <v>15</v>
      </c>
      <c r="X27" s="345" t="str">
        <f t="shared" si="124"/>
        <v>SEG15</v>
      </c>
      <c r="Y27" s="233">
        <v>2</v>
      </c>
      <c r="Z27" s="233"/>
      <c r="AA27" s="233"/>
      <c r="AB27" s="233"/>
      <c r="AC27" s="233"/>
      <c r="AD27" s="233"/>
      <c r="AE27" s="233"/>
      <c r="AF27" s="233">
        <v>1</v>
      </c>
      <c r="AG27" s="576">
        <v>1</v>
      </c>
      <c r="AH27" s="575"/>
      <c r="AI27" s="232">
        <v>15</v>
      </c>
      <c r="AJ27" s="345" t="str">
        <f>+X27</f>
        <v>SEG15</v>
      </c>
      <c r="AK27" s="233">
        <v>6</v>
      </c>
      <c r="AL27" s="233">
        <v>4</v>
      </c>
      <c r="AM27" s="233">
        <f>77+127+90+50</f>
        <v>344</v>
      </c>
      <c r="AN27" s="577">
        <f t="shared" si="125"/>
        <v>86</v>
      </c>
      <c r="AO27" s="578">
        <f t="shared" si="85"/>
        <v>0.45989304812834225</v>
      </c>
      <c r="AP27" s="346" t="str">
        <f t="shared" si="126"/>
        <v>SEG15</v>
      </c>
      <c r="AQ27" s="233">
        <v>4</v>
      </c>
      <c r="AR27" s="233">
        <v>3</v>
      </c>
      <c r="AS27" s="233">
        <v>2</v>
      </c>
      <c r="AT27" s="233">
        <v>2</v>
      </c>
      <c r="AU27" s="233">
        <v>1</v>
      </c>
      <c r="AV27" s="236"/>
      <c r="AW27" s="234"/>
      <c r="AX27" s="188"/>
      <c r="AY27" s="232">
        <v>15</v>
      </c>
      <c r="AZ27" s="345" t="str">
        <f t="shared" si="127"/>
        <v>SEG15</v>
      </c>
      <c r="BA27" s="233">
        <v>9</v>
      </c>
      <c r="BB27" s="233">
        <v>0</v>
      </c>
      <c r="BC27" s="233"/>
      <c r="BD27" s="233"/>
      <c r="BE27" s="579"/>
      <c r="BF27" s="578">
        <f t="shared" si="129"/>
        <v>0</v>
      </c>
      <c r="BG27" s="347" t="str">
        <f>+AZ27</f>
        <v>SEG15</v>
      </c>
      <c r="BH27" s="233">
        <v>2</v>
      </c>
      <c r="BI27" s="233">
        <v>4</v>
      </c>
      <c r="BJ27" s="233">
        <v>3</v>
      </c>
      <c r="BK27" s="233">
        <v>1</v>
      </c>
      <c r="BL27" s="233">
        <v>1</v>
      </c>
      <c r="BM27" s="233">
        <v>1</v>
      </c>
      <c r="BN27" s="580">
        <v>0.51</v>
      </c>
      <c r="BO27" s="233">
        <v>1</v>
      </c>
      <c r="BP27" s="234">
        <v>2</v>
      </c>
      <c r="BQ27" s="188"/>
      <c r="BR27" s="227">
        <v>15</v>
      </c>
      <c r="BS27" s="348" t="str">
        <f t="shared" si="130"/>
        <v>SEG15</v>
      </c>
      <c r="BT27" s="228">
        <v>2</v>
      </c>
      <c r="BU27" s="581">
        <v>0</v>
      </c>
      <c r="BV27" s="228">
        <v>0</v>
      </c>
      <c r="BW27" s="228" t="s">
        <v>170</v>
      </c>
      <c r="BX27" s="583" t="s">
        <v>170</v>
      </c>
      <c r="BY27" s="584" t="s">
        <v>170</v>
      </c>
      <c r="BZ27" s="348" t="str">
        <f>+BS27</f>
        <v>SEG15</v>
      </c>
      <c r="CA27" s="228">
        <v>1</v>
      </c>
      <c r="CB27" s="228" t="s">
        <v>170</v>
      </c>
      <c r="CC27" s="228" t="s">
        <v>170</v>
      </c>
      <c r="CD27" s="228" t="s">
        <v>170</v>
      </c>
      <c r="CE27" s="228" t="s">
        <v>170</v>
      </c>
      <c r="CF27" s="240" t="s">
        <v>170</v>
      </c>
      <c r="CG27" s="195"/>
      <c r="CH27" s="227">
        <v>15</v>
      </c>
      <c r="CI27" s="423" t="str">
        <f t="shared" si="131"/>
        <v>SEG15</v>
      </c>
      <c r="CJ27" s="228">
        <v>3</v>
      </c>
      <c r="CK27" s="228">
        <v>1</v>
      </c>
      <c r="CL27" s="349" t="str">
        <f t="shared" si="132"/>
        <v>SEG15</v>
      </c>
      <c r="CM27" s="228">
        <v>5000</v>
      </c>
      <c r="CN27" s="228"/>
      <c r="CO27" s="228">
        <v>187</v>
      </c>
      <c r="CP27" s="402">
        <f t="shared" si="89"/>
        <v>1</v>
      </c>
      <c r="CQ27" s="196"/>
      <c r="CR27" s="227">
        <v>15</v>
      </c>
      <c r="CS27" s="350" t="str">
        <f t="shared" si="133"/>
        <v>SEG15</v>
      </c>
      <c r="CT27" s="233">
        <v>1</v>
      </c>
      <c r="CU27" s="233">
        <v>3</v>
      </c>
      <c r="CV27" s="233">
        <v>3</v>
      </c>
      <c r="CW27" s="233">
        <v>1</v>
      </c>
      <c r="CX27" s="233">
        <v>1</v>
      </c>
      <c r="CY27" s="233">
        <v>1</v>
      </c>
      <c r="CZ27" s="233">
        <v>1</v>
      </c>
      <c r="DA27" s="233">
        <v>2</v>
      </c>
      <c r="DB27" s="233">
        <v>1</v>
      </c>
      <c r="DC27" s="233">
        <v>1</v>
      </c>
      <c r="DD27" s="233">
        <v>1</v>
      </c>
      <c r="DE27" s="610">
        <v>3</v>
      </c>
      <c r="DF27" s="610">
        <v>1</v>
      </c>
      <c r="DG27" s="233">
        <v>1</v>
      </c>
      <c r="DH27" s="610">
        <v>3</v>
      </c>
      <c r="DI27" s="610">
        <v>3</v>
      </c>
      <c r="DJ27" s="630">
        <v>3</v>
      </c>
      <c r="DK27" s="188"/>
      <c r="DL27" s="227">
        <v>15</v>
      </c>
      <c r="DM27" s="350" t="str">
        <f t="shared" si="134"/>
        <v>SEG15</v>
      </c>
      <c r="DN27" s="228">
        <v>1</v>
      </c>
      <c r="DO27" s="228">
        <v>1</v>
      </c>
      <c r="DP27" s="228"/>
      <c r="DQ27" s="228"/>
      <c r="DR27" s="636">
        <v>40303</v>
      </c>
      <c r="DS27" s="350" t="str">
        <f t="shared" si="135"/>
        <v>SEG15</v>
      </c>
      <c r="DT27" s="228">
        <v>84</v>
      </c>
      <c r="DU27" s="411">
        <f t="shared" si="91"/>
        <v>0.44919786096256686</v>
      </c>
      <c r="DV27" s="228"/>
      <c r="DW27" s="228"/>
      <c r="DX27" s="244"/>
      <c r="DY27" s="240"/>
      <c r="DZ27" s="188"/>
      <c r="EA27" s="232">
        <v>15</v>
      </c>
      <c r="EB27" s="345" t="str">
        <f t="shared" si="136"/>
        <v>SEG15</v>
      </c>
      <c r="EC27" s="233">
        <v>0</v>
      </c>
      <c r="ED27" s="233">
        <v>0</v>
      </c>
      <c r="EE27" s="233">
        <v>0</v>
      </c>
      <c r="EF27" s="188"/>
      <c r="EG27" s="227">
        <v>15</v>
      </c>
      <c r="EH27" s="350" t="str">
        <f t="shared" si="137"/>
        <v>SEG15</v>
      </c>
      <c r="EI27" s="228">
        <v>140</v>
      </c>
      <c r="EJ27" s="228">
        <v>152</v>
      </c>
      <c r="EK27" s="411">
        <f t="shared" si="138"/>
        <v>1.0857142857142856</v>
      </c>
      <c r="EL27" s="228">
        <v>152</v>
      </c>
      <c r="EM27" s="411">
        <f t="shared" si="139"/>
        <v>1.0857142857142856</v>
      </c>
      <c r="EN27" s="228"/>
      <c r="EO27" s="228"/>
      <c r="EP27" s="228"/>
      <c r="EQ27" s="228"/>
      <c r="ER27" s="228"/>
      <c r="ES27" s="228"/>
      <c r="ET27" s="228"/>
      <c r="EU27" s="228"/>
      <c r="EV27" s="228"/>
      <c r="EW27" s="240"/>
      <c r="EX27" s="288">
        <v>0</v>
      </c>
      <c r="EY27" s="412" t="e">
        <f t="shared" si="143"/>
        <v>#DIV/0!</v>
      </c>
      <c r="EZ27" s="188"/>
      <c r="FA27" s="645" t="str">
        <f t="shared" si="140"/>
        <v>SEG15</v>
      </c>
      <c r="FB27" s="228">
        <v>179</v>
      </c>
      <c r="FC27" s="228">
        <v>546</v>
      </c>
      <c r="FD27" s="228">
        <v>1.075</v>
      </c>
      <c r="FE27" s="643">
        <f>+FD27*FC27</f>
        <v>586.94999999999993</v>
      </c>
      <c r="FF27" s="228">
        <v>187</v>
      </c>
      <c r="FG27" s="228">
        <v>660.27</v>
      </c>
      <c r="FH27" s="650">
        <f t="shared" si="141"/>
        <v>3.5308556149732619</v>
      </c>
      <c r="FI27" s="228">
        <v>1.3</v>
      </c>
      <c r="FJ27" s="644">
        <f>+FI27*FG27</f>
        <v>858.351</v>
      </c>
      <c r="FK27" s="227">
        <v>15</v>
      </c>
      <c r="FL27" s="658" t="str">
        <f t="shared" si="142"/>
        <v>SEG15</v>
      </c>
      <c r="FM27" s="228">
        <v>1</v>
      </c>
      <c r="FN27" s="244">
        <v>4</v>
      </c>
      <c r="FO27" s="244">
        <v>1</v>
      </c>
      <c r="FP27" s="244">
        <v>0</v>
      </c>
      <c r="FQ27" s="240">
        <v>1</v>
      </c>
    </row>
    <row r="28" spans="1:173" ht="7.15" customHeight="1" x14ac:dyDescent="0.25">
      <c r="E28" s="627"/>
      <c r="F28" s="627"/>
      <c r="I28" s="511"/>
      <c r="R28" s="626"/>
      <c r="S28" s="511"/>
      <c r="AG28" s="511"/>
      <c r="AN28" s="511"/>
      <c r="AO28" s="511"/>
      <c r="AX28" s="5"/>
      <c r="BF28" s="511"/>
      <c r="BN28" s="511"/>
      <c r="BU28" s="582"/>
      <c r="BX28" s="511"/>
      <c r="BY28" s="511"/>
      <c r="DE28" s="629"/>
      <c r="DF28" s="629"/>
      <c r="DH28" s="629"/>
      <c r="DI28" s="629"/>
      <c r="DJ28" s="629"/>
      <c r="FA28" s="511"/>
      <c r="FE28" s="511"/>
    </row>
    <row r="29" spans="1:173" ht="17.649999999999999" customHeight="1" x14ac:dyDescent="0.25">
      <c r="B29" s="728" t="s">
        <v>171</v>
      </c>
      <c r="C29" s="722" t="s">
        <v>172</v>
      </c>
      <c r="D29" s="722" t="s">
        <v>172</v>
      </c>
      <c r="E29" s="375"/>
      <c r="F29" s="375"/>
      <c r="G29" s="722" t="s">
        <v>172</v>
      </c>
      <c r="H29" s="722" t="s">
        <v>172</v>
      </c>
      <c r="I29" s="722" t="s">
        <v>172</v>
      </c>
      <c r="J29" s="722" t="s">
        <v>172</v>
      </c>
      <c r="K29" s="722" t="s">
        <v>172</v>
      </c>
      <c r="L29" s="722" t="s">
        <v>172</v>
      </c>
      <c r="M29" s="722" t="s">
        <v>172</v>
      </c>
      <c r="N29" s="722" t="s">
        <v>172</v>
      </c>
      <c r="O29" s="722" t="s">
        <v>172</v>
      </c>
      <c r="P29" s="722" t="s">
        <v>172</v>
      </c>
      <c r="Q29" s="722" t="s">
        <v>172</v>
      </c>
      <c r="R29" s="741" t="s">
        <v>172</v>
      </c>
      <c r="S29" s="722" t="s">
        <v>172</v>
      </c>
      <c r="T29" s="722" t="s">
        <v>172</v>
      </c>
      <c r="U29" s="722" t="s">
        <v>172</v>
      </c>
      <c r="V29" s="722" t="s">
        <v>172</v>
      </c>
      <c r="X29" s="728" t="s">
        <v>171</v>
      </c>
      <c r="Y29" s="722" t="s">
        <v>173</v>
      </c>
      <c r="Z29" s="722" t="s">
        <v>173</v>
      </c>
      <c r="AA29" s="729" t="s">
        <v>174</v>
      </c>
      <c r="AB29" s="729" t="s">
        <v>175</v>
      </c>
      <c r="AC29" s="418"/>
      <c r="AD29" s="418"/>
      <c r="AE29" s="418"/>
      <c r="AF29" s="418"/>
      <c r="AG29" s="418"/>
      <c r="AH29" s="247"/>
      <c r="AJ29" s="728" t="s">
        <v>171</v>
      </c>
      <c r="AK29" s="722" t="s">
        <v>172</v>
      </c>
      <c r="AL29" s="722" t="s">
        <v>172</v>
      </c>
      <c r="AM29" s="722" t="s">
        <v>172</v>
      </c>
      <c r="AN29" s="247"/>
      <c r="AO29" s="722" t="s">
        <v>172</v>
      </c>
      <c r="AP29" s="728" t="s">
        <v>171</v>
      </c>
      <c r="AQ29" s="730" t="s">
        <v>176</v>
      </c>
      <c r="AR29" s="730" t="s">
        <v>177</v>
      </c>
      <c r="AS29" s="722" t="s">
        <v>178</v>
      </c>
      <c r="AT29" s="722" t="s">
        <v>179</v>
      </c>
      <c r="AU29" s="729" t="s">
        <v>173</v>
      </c>
      <c r="AV29" s="722"/>
      <c r="AW29" s="730" t="s">
        <v>180</v>
      </c>
      <c r="AX29" s="248"/>
      <c r="AZ29" s="728" t="s">
        <v>171</v>
      </c>
      <c r="BA29" s="722" t="s">
        <v>172</v>
      </c>
      <c r="BB29" s="722" t="s">
        <v>172</v>
      </c>
      <c r="BC29" s="722" t="s">
        <v>172</v>
      </c>
      <c r="BD29" s="722" t="s">
        <v>172</v>
      </c>
      <c r="BE29" s="247"/>
      <c r="BF29" s="247"/>
      <c r="BG29" s="728" t="s">
        <v>171</v>
      </c>
      <c r="BH29" s="722" t="s">
        <v>181</v>
      </c>
      <c r="BI29" s="722" t="s">
        <v>182</v>
      </c>
      <c r="BJ29" s="730" t="s">
        <v>177</v>
      </c>
      <c r="BK29" s="730" t="s">
        <v>183</v>
      </c>
      <c r="BL29" s="722" t="s">
        <v>184</v>
      </c>
      <c r="BM29" s="729" t="s">
        <v>173</v>
      </c>
      <c r="BN29" s="722" t="s">
        <v>172</v>
      </c>
      <c r="BO29" s="247"/>
      <c r="BP29" s="730" t="s">
        <v>185</v>
      </c>
      <c r="CP29" s="247"/>
      <c r="CQ29" s="249"/>
      <c r="CR29" s="247"/>
      <c r="CS29" s="247"/>
      <c r="CT29" s="722" t="s">
        <v>186</v>
      </c>
      <c r="CU29" s="417"/>
      <c r="CV29" s="417"/>
      <c r="CW29" s="417"/>
      <c r="CX29" s="417"/>
      <c r="CY29" s="417"/>
      <c r="CZ29" s="417"/>
      <c r="DA29" s="417"/>
      <c r="DB29" s="417"/>
      <c r="DC29" s="417"/>
      <c r="DD29" s="417"/>
      <c r="DE29" s="417"/>
      <c r="DF29" s="417"/>
      <c r="DG29" s="417"/>
      <c r="DH29" s="417"/>
      <c r="DI29" s="417"/>
      <c r="DJ29" s="417"/>
      <c r="DK29" s="247"/>
      <c r="EH29" s="728" t="s">
        <v>171</v>
      </c>
      <c r="EI29" s="722" t="s">
        <v>172</v>
      </c>
      <c r="EJ29" s="722" t="s">
        <v>172</v>
      </c>
      <c r="EK29" s="722" t="s">
        <v>172</v>
      </c>
      <c r="EL29" s="722" t="s">
        <v>172</v>
      </c>
      <c r="EM29" s="722" t="s">
        <v>172</v>
      </c>
      <c r="EN29" s="722" t="s">
        <v>172</v>
      </c>
      <c r="EO29" s="722" t="s">
        <v>172</v>
      </c>
      <c r="EP29" s="722" t="s">
        <v>172</v>
      </c>
      <c r="EQ29" s="722" t="s">
        <v>172</v>
      </c>
      <c r="ER29" s="722" t="s">
        <v>172</v>
      </c>
      <c r="ES29" s="722" t="s">
        <v>172</v>
      </c>
      <c r="ET29" s="722" t="s">
        <v>172</v>
      </c>
      <c r="EU29" s="722" t="s">
        <v>172</v>
      </c>
      <c r="EV29" s="722" t="s">
        <v>172</v>
      </c>
      <c r="EW29" s="722" t="s">
        <v>172</v>
      </c>
      <c r="EX29" s="268"/>
      <c r="FA29" s="728" t="s">
        <v>171</v>
      </c>
      <c r="FB29" s="722" t="s">
        <v>172</v>
      </c>
      <c r="FC29" s="722" t="s">
        <v>172</v>
      </c>
      <c r="FD29" s="722" t="s">
        <v>172</v>
      </c>
      <c r="FE29" s="722" t="s">
        <v>172</v>
      </c>
      <c r="FF29" s="722" t="s">
        <v>172</v>
      </c>
      <c r="FG29" s="722" t="s">
        <v>172</v>
      </c>
      <c r="FH29" s="247"/>
      <c r="FI29" s="722" t="s">
        <v>172</v>
      </c>
      <c r="FJ29" s="250"/>
      <c r="FL29" s="722" t="s">
        <v>172</v>
      </c>
      <c r="FM29" s="722" t="s">
        <v>172</v>
      </c>
      <c r="FN29" s="247"/>
      <c r="FO29" s="247"/>
      <c r="FP29" s="247"/>
      <c r="FQ29" s="722" t="s">
        <v>172</v>
      </c>
    </row>
    <row r="30" spans="1:173" x14ac:dyDescent="0.25">
      <c r="B30" s="728"/>
      <c r="C30" s="722"/>
      <c r="D30" s="722"/>
      <c r="E30" s="375"/>
      <c r="F30" s="375"/>
      <c r="G30" s="722"/>
      <c r="H30" s="722"/>
      <c r="I30" s="722"/>
      <c r="J30" s="722"/>
      <c r="K30" s="722"/>
      <c r="L30" s="722"/>
      <c r="M30" s="722"/>
      <c r="N30" s="722"/>
      <c r="O30" s="722"/>
      <c r="P30" s="722"/>
      <c r="Q30" s="722"/>
      <c r="R30" s="741"/>
      <c r="S30" s="722"/>
      <c r="T30" s="722"/>
      <c r="U30" s="722"/>
      <c r="V30" s="722"/>
      <c r="X30" s="728"/>
      <c r="Y30" s="722"/>
      <c r="Z30" s="722"/>
      <c r="AA30" s="729"/>
      <c r="AB30" s="729"/>
      <c r="AC30" s="418"/>
      <c r="AD30" s="418"/>
      <c r="AE30" s="418"/>
      <c r="AF30" s="418"/>
      <c r="AG30" s="418"/>
      <c r="AH30" s="247"/>
      <c r="AJ30" s="728"/>
      <c r="AK30" s="722"/>
      <c r="AL30" s="722"/>
      <c r="AM30" s="722"/>
      <c r="AN30" s="247"/>
      <c r="AO30" s="722"/>
      <c r="AP30" s="728"/>
      <c r="AQ30" s="722"/>
      <c r="AR30" s="722"/>
      <c r="AS30" s="722"/>
      <c r="AT30" s="722"/>
      <c r="AU30" s="729"/>
      <c r="AV30" s="722"/>
      <c r="AW30" s="722"/>
      <c r="AX30" s="247"/>
      <c r="AZ30" s="728"/>
      <c r="BA30" s="722"/>
      <c r="BB30" s="722"/>
      <c r="BC30" s="722"/>
      <c r="BD30" s="722"/>
      <c r="BE30" s="247"/>
      <c r="BF30" s="247"/>
      <c r="BG30" s="728"/>
      <c r="BH30" s="722"/>
      <c r="BI30" s="722"/>
      <c r="BJ30" s="722"/>
      <c r="BK30" s="722"/>
      <c r="BL30" s="722"/>
      <c r="BM30" s="729"/>
      <c r="BN30" s="722"/>
      <c r="BO30" s="247"/>
      <c r="BP30" s="722"/>
      <c r="CP30" s="247"/>
      <c r="CQ30" s="249"/>
      <c r="CR30" s="247"/>
      <c r="CS30" s="247"/>
      <c r="CT30" s="722"/>
      <c r="CU30" s="417"/>
      <c r="CV30" s="417"/>
      <c r="CW30" s="417"/>
      <c r="CX30" s="417"/>
      <c r="CY30" s="417"/>
      <c r="CZ30" s="417"/>
      <c r="DA30" s="417"/>
      <c r="DB30" s="417"/>
      <c r="DC30" s="417"/>
      <c r="DD30" s="417"/>
      <c r="DE30" s="417"/>
      <c r="DF30" s="417"/>
      <c r="DG30" s="417"/>
      <c r="DH30" s="417"/>
      <c r="DI30" s="417"/>
      <c r="DJ30" s="417"/>
      <c r="DK30" s="247"/>
      <c r="EH30" s="728"/>
      <c r="EI30" s="722"/>
      <c r="EJ30" s="722"/>
      <c r="EK30" s="722"/>
      <c r="EL30" s="722"/>
      <c r="EM30" s="722"/>
      <c r="EN30" s="722"/>
      <c r="EO30" s="722"/>
      <c r="EP30" s="722"/>
      <c r="EQ30" s="722"/>
      <c r="ER30" s="722"/>
      <c r="ES30" s="722"/>
      <c r="ET30" s="722"/>
      <c r="EU30" s="722"/>
      <c r="EV30" s="722"/>
      <c r="EW30" s="722"/>
      <c r="EX30" s="268"/>
      <c r="FA30" s="728"/>
      <c r="FB30" s="722"/>
      <c r="FC30" s="722"/>
      <c r="FD30" s="722"/>
      <c r="FE30" s="722"/>
      <c r="FF30" s="722"/>
      <c r="FG30" s="722"/>
      <c r="FH30" s="247"/>
      <c r="FI30" s="722"/>
      <c r="FJ30" s="250"/>
      <c r="FL30" s="722"/>
      <c r="FM30" s="722"/>
      <c r="FN30" s="247"/>
      <c r="FO30" s="247"/>
      <c r="FP30" s="247"/>
      <c r="FQ30" s="722"/>
    </row>
    <row r="31" spans="1:173" x14ac:dyDescent="0.25">
      <c r="B31" s="728"/>
      <c r="C31" s="722"/>
      <c r="D31" s="722"/>
      <c r="E31" s="375"/>
      <c r="F31" s="375"/>
      <c r="G31" s="722"/>
      <c r="H31" s="722"/>
      <c r="I31" s="722"/>
      <c r="J31" s="722"/>
      <c r="K31" s="722"/>
      <c r="L31" s="722"/>
      <c r="M31" s="722"/>
      <c r="N31" s="722"/>
      <c r="O31" s="722"/>
      <c r="P31" s="722"/>
      <c r="Q31" s="722"/>
      <c r="R31" s="741"/>
      <c r="S31" s="722"/>
      <c r="T31" s="722"/>
      <c r="U31" s="722"/>
      <c r="V31" s="722"/>
      <c r="X31" s="728"/>
      <c r="Y31" s="722"/>
      <c r="Z31" s="722"/>
      <c r="AA31" s="729"/>
      <c r="AB31" s="729"/>
      <c r="AC31" s="418"/>
      <c r="AD31" s="418"/>
      <c r="AE31" s="418"/>
      <c r="AF31" s="418"/>
      <c r="AG31" s="418"/>
      <c r="AH31" s="247"/>
      <c r="AJ31" s="728"/>
      <c r="AK31" s="722"/>
      <c r="AL31" s="722"/>
      <c r="AM31" s="722"/>
      <c r="AN31" s="247"/>
      <c r="AO31" s="722"/>
      <c r="AP31" s="728"/>
      <c r="AQ31" s="722"/>
      <c r="AR31" s="722"/>
      <c r="AS31" s="722"/>
      <c r="AT31" s="722"/>
      <c r="AU31" s="729"/>
      <c r="AV31" s="722"/>
      <c r="AW31" s="722"/>
      <c r="AX31" s="247"/>
      <c r="AZ31" s="728"/>
      <c r="BA31" s="722"/>
      <c r="BB31" s="722"/>
      <c r="BC31" s="722"/>
      <c r="BD31" s="722"/>
      <c r="BE31" s="247"/>
      <c r="BF31" s="247"/>
      <c r="BG31" s="728"/>
      <c r="BH31" s="722"/>
      <c r="BI31" s="722"/>
      <c r="BJ31" s="722"/>
      <c r="BK31" s="722"/>
      <c r="BL31" s="722"/>
      <c r="BM31" s="729"/>
      <c r="BN31" s="722"/>
      <c r="BO31" s="247"/>
      <c r="BP31" s="722"/>
      <c r="CP31" s="247"/>
      <c r="CQ31" s="249"/>
      <c r="CR31" s="247"/>
      <c r="CS31" s="247"/>
      <c r="CT31" s="722"/>
      <c r="CU31" s="417"/>
      <c r="CV31" s="417"/>
      <c r="CW31" s="417"/>
      <c r="CX31" s="417"/>
      <c r="CY31" s="417"/>
      <c r="CZ31" s="417"/>
      <c r="DA31" s="417"/>
      <c r="DB31" s="417"/>
      <c r="DC31" s="417"/>
      <c r="DD31" s="417"/>
      <c r="DE31" s="417"/>
      <c r="DF31" s="417"/>
      <c r="DG31" s="417"/>
      <c r="DH31" s="417"/>
      <c r="DI31" s="417"/>
      <c r="DJ31" s="417"/>
      <c r="DK31" s="247"/>
      <c r="EH31" s="728"/>
      <c r="EI31" s="722"/>
      <c r="EJ31" s="722"/>
      <c r="EK31" s="722"/>
      <c r="EL31" s="722"/>
      <c r="EM31" s="722"/>
      <c r="EN31" s="722"/>
      <c r="EO31" s="722"/>
      <c r="EP31" s="722"/>
      <c r="EQ31" s="722"/>
      <c r="ER31" s="722"/>
      <c r="ES31" s="722"/>
      <c r="ET31" s="722"/>
      <c r="EU31" s="722"/>
      <c r="EV31" s="722"/>
      <c r="EW31" s="722"/>
      <c r="EX31" s="268"/>
      <c r="FA31" s="728"/>
      <c r="FB31" s="722"/>
      <c r="FC31" s="722"/>
      <c r="FD31" s="722"/>
      <c r="FE31" s="722"/>
      <c r="FF31" s="722"/>
      <c r="FG31" s="722"/>
      <c r="FH31" s="247"/>
      <c r="FI31" s="722"/>
      <c r="FJ31" s="250"/>
      <c r="FL31" s="722"/>
      <c r="FM31" s="722"/>
      <c r="FN31" s="247"/>
      <c r="FO31" s="247"/>
      <c r="FP31" s="247"/>
      <c r="FQ31" s="722"/>
    </row>
    <row r="32" spans="1:173" x14ac:dyDescent="0.25">
      <c r="B32" s="728"/>
      <c r="C32" s="722"/>
      <c r="D32" s="722"/>
      <c r="E32" s="375"/>
      <c r="F32" s="375"/>
      <c r="G32" s="722"/>
      <c r="H32" s="722"/>
      <c r="I32" s="722"/>
      <c r="J32" s="722"/>
      <c r="K32" s="722"/>
      <c r="L32" s="722"/>
      <c r="M32" s="722"/>
      <c r="N32" s="722"/>
      <c r="O32" s="722"/>
      <c r="P32" s="722"/>
      <c r="Q32" s="722"/>
      <c r="R32" s="741"/>
      <c r="S32" s="722"/>
      <c r="T32" s="722"/>
      <c r="U32" s="722"/>
      <c r="V32" s="722"/>
      <c r="X32" s="728"/>
      <c r="Y32" s="722"/>
      <c r="Z32" s="722"/>
      <c r="AA32" s="729"/>
      <c r="AB32" s="729"/>
      <c r="AC32" s="418"/>
      <c r="AD32" s="418"/>
      <c r="AE32" s="418"/>
      <c r="AF32" s="418"/>
      <c r="AG32" s="418"/>
      <c r="AH32" s="247"/>
      <c r="AJ32" s="728"/>
      <c r="AK32" s="722"/>
      <c r="AL32" s="722"/>
      <c r="AM32" s="722"/>
      <c r="AN32" s="247"/>
      <c r="AO32" s="722"/>
      <c r="AP32" s="728"/>
      <c r="AQ32" s="722"/>
      <c r="AR32" s="722"/>
      <c r="AS32" s="722"/>
      <c r="AT32" s="722"/>
      <c r="AU32" s="729"/>
      <c r="AV32" s="722"/>
      <c r="AW32" s="722"/>
      <c r="AX32" s="247"/>
      <c r="AZ32" s="728"/>
      <c r="BA32" s="722"/>
      <c r="BB32" s="722"/>
      <c r="BC32" s="722"/>
      <c r="BD32" s="722"/>
      <c r="BE32" s="247"/>
      <c r="BF32" s="247"/>
      <c r="BG32" s="728"/>
      <c r="BH32" s="722"/>
      <c r="BI32" s="722"/>
      <c r="BJ32" s="722"/>
      <c r="BK32" s="722"/>
      <c r="BL32" s="722"/>
      <c r="BM32" s="729"/>
      <c r="BN32" s="722"/>
      <c r="BO32" s="247"/>
      <c r="BP32" s="722"/>
      <c r="CP32" s="247"/>
      <c r="CQ32" s="249"/>
      <c r="CR32" s="247"/>
      <c r="CS32" s="247"/>
      <c r="CT32" s="722"/>
      <c r="CU32" s="417"/>
      <c r="CV32" s="417"/>
      <c r="CW32" s="417"/>
      <c r="CX32" s="417"/>
      <c r="CY32" s="417"/>
      <c r="CZ32" s="417"/>
      <c r="DA32" s="417"/>
      <c r="DB32" s="417"/>
      <c r="DC32" s="417"/>
      <c r="DD32" s="417"/>
      <c r="DE32" s="417"/>
      <c r="DF32" s="417"/>
      <c r="DG32" s="417"/>
      <c r="DH32" s="417"/>
      <c r="DI32" s="417"/>
      <c r="DJ32" s="417"/>
      <c r="DK32" s="247"/>
      <c r="EH32" s="728"/>
      <c r="EI32" s="722"/>
      <c r="EJ32" s="722"/>
      <c r="EK32" s="722"/>
      <c r="EL32" s="722"/>
      <c r="EM32" s="722"/>
      <c r="EN32" s="722"/>
      <c r="EO32" s="722"/>
      <c r="EP32" s="722"/>
      <c r="EQ32" s="722"/>
      <c r="ER32" s="722"/>
      <c r="ES32" s="722"/>
      <c r="ET32" s="722"/>
      <c r="EU32" s="722"/>
      <c r="EV32" s="722"/>
      <c r="EW32" s="722"/>
      <c r="EX32" s="268"/>
      <c r="FA32" s="728"/>
      <c r="FB32" s="722"/>
      <c r="FC32" s="722"/>
      <c r="FD32" s="722"/>
      <c r="FE32" s="722"/>
      <c r="FF32" s="722"/>
      <c r="FG32" s="722"/>
      <c r="FH32" s="247"/>
      <c r="FI32" s="722"/>
      <c r="FJ32" s="250"/>
      <c r="FL32" s="722"/>
      <c r="FM32" s="722"/>
      <c r="FN32" s="247"/>
      <c r="FO32" s="247"/>
      <c r="FP32" s="247"/>
      <c r="FQ32" s="722"/>
    </row>
    <row r="33" spans="2:173" x14ac:dyDescent="0.25">
      <c r="B33" s="728"/>
      <c r="C33" s="722"/>
      <c r="D33" s="722"/>
      <c r="E33" s="375"/>
      <c r="F33" s="375"/>
      <c r="G33" s="722"/>
      <c r="H33" s="722"/>
      <c r="I33" s="722"/>
      <c r="J33" s="722"/>
      <c r="K33" s="722"/>
      <c r="L33" s="722"/>
      <c r="M33" s="722"/>
      <c r="N33" s="722"/>
      <c r="O33" s="722"/>
      <c r="P33" s="722"/>
      <c r="Q33" s="722"/>
      <c r="R33" s="741"/>
      <c r="S33" s="722"/>
      <c r="T33" s="722"/>
      <c r="U33" s="722"/>
      <c r="V33" s="722"/>
      <c r="X33" s="728"/>
      <c r="Y33" s="722"/>
      <c r="Z33" s="722"/>
      <c r="AA33" s="729"/>
      <c r="AB33" s="729"/>
      <c r="AC33" s="418"/>
      <c r="AD33" s="418"/>
      <c r="AE33" s="418"/>
      <c r="AF33" s="418"/>
      <c r="AG33" s="418"/>
      <c r="AH33" s="247"/>
      <c r="AJ33" s="728"/>
      <c r="AK33" s="722"/>
      <c r="AL33" s="722"/>
      <c r="AM33" s="722"/>
      <c r="AN33" s="247"/>
      <c r="AO33" s="722"/>
      <c r="AP33" s="728"/>
      <c r="AQ33" s="722"/>
      <c r="AR33" s="722"/>
      <c r="AS33" s="722"/>
      <c r="AT33" s="722"/>
      <c r="AU33" s="729"/>
      <c r="AV33" s="722"/>
      <c r="AW33" s="722"/>
      <c r="AX33" s="247"/>
      <c r="AZ33" s="728"/>
      <c r="BA33" s="722"/>
      <c r="BB33" s="722"/>
      <c r="BC33" s="722"/>
      <c r="BD33" s="722"/>
      <c r="BE33" s="247"/>
      <c r="BF33" s="247"/>
      <c r="BG33" s="728"/>
      <c r="BH33" s="722"/>
      <c r="BI33" s="722"/>
      <c r="BJ33" s="722"/>
      <c r="BK33" s="722"/>
      <c r="BL33" s="722"/>
      <c r="BM33" s="729"/>
      <c r="BN33" s="722"/>
      <c r="BO33" s="247"/>
      <c r="BP33" s="722"/>
      <c r="CP33" s="247"/>
      <c r="CQ33" s="249"/>
      <c r="CR33" s="247"/>
      <c r="CS33" s="247"/>
      <c r="CT33" s="722"/>
      <c r="CU33" s="417"/>
      <c r="CV33" s="417"/>
      <c r="CW33" s="417"/>
      <c r="CX33" s="417"/>
      <c r="CY33" s="417"/>
      <c r="CZ33" s="417"/>
      <c r="DA33" s="417"/>
      <c r="DB33" s="417"/>
      <c r="DC33" s="417"/>
      <c r="DD33" s="417"/>
      <c r="DE33" s="417"/>
      <c r="DF33" s="417"/>
      <c r="DG33" s="417"/>
      <c r="DH33" s="417"/>
      <c r="DI33" s="417"/>
      <c r="DJ33" s="417"/>
      <c r="DK33" s="247"/>
      <c r="EH33" s="728"/>
      <c r="EI33" s="722"/>
      <c r="EJ33" s="722"/>
      <c r="EK33" s="722"/>
      <c r="EL33" s="722"/>
      <c r="EM33" s="722"/>
      <c r="EN33" s="722"/>
      <c r="EO33" s="722"/>
      <c r="EP33" s="722"/>
      <c r="EQ33" s="722"/>
      <c r="ER33" s="722"/>
      <c r="ES33" s="722"/>
      <c r="ET33" s="722"/>
      <c r="EU33" s="722"/>
      <c r="EV33" s="722"/>
      <c r="EW33" s="722"/>
      <c r="EX33" s="268"/>
      <c r="FA33" s="728"/>
      <c r="FB33" s="722"/>
      <c r="FC33" s="722"/>
      <c r="FD33" s="722"/>
      <c r="FE33" s="722"/>
      <c r="FF33" s="722"/>
      <c r="FG33" s="722"/>
      <c r="FH33" s="247"/>
      <c r="FI33" s="722"/>
      <c r="FJ33" s="250"/>
      <c r="FL33" s="722"/>
      <c r="FM33" s="722"/>
      <c r="FN33" s="247"/>
      <c r="FO33" s="247"/>
      <c r="FP33" s="247"/>
      <c r="FQ33" s="722"/>
    </row>
    <row r="34" spans="2:173" x14ac:dyDescent="0.25">
      <c r="B34" s="728"/>
      <c r="C34" s="722"/>
      <c r="D34" s="722"/>
      <c r="E34" s="375"/>
      <c r="F34" s="375"/>
      <c r="G34" s="722"/>
      <c r="H34" s="722"/>
      <c r="I34" s="722"/>
      <c r="J34" s="722"/>
      <c r="K34" s="722"/>
      <c r="L34" s="722"/>
      <c r="M34" s="722"/>
      <c r="N34" s="722"/>
      <c r="O34" s="722"/>
      <c r="P34" s="722"/>
      <c r="Q34" s="722"/>
      <c r="R34" s="741"/>
      <c r="S34" s="722"/>
      <c r="T34" s="722"/>
      <c r="U34" s="722"/>
      <c r="V34" s="722"/>
      <c r="X34" s="728"/>
      <c r="Y34" s="722"/>
      <c r="Z34" s="722"/>
      <c r="AA34" s="729"/>
      <c r="AB34" s="729"/>
      <c r="AC34" s="418"/>
      <c r="AD34" s="418"/>
      <c r="AE34" s="418"/>
      <c r="AF34" s="418"/>
      <c r="AG34" s="418"/>
      <c r="AH34" s="247"/>
      <c r="AJ34" s="728"/>
      <c r="AK34" s="722"/>
      <c r="AL34" s="722"/>
      <c r="AM34" s="722"/>
      <c r="AN34" s="247"/>
      <c r="AO34" s="722"/>
      <c r="AP34" s="728"/>
      <c r="AQ34" s="722"/>
      <c r="AR34" s="722"/>
      <c r="AS34" s="722"/>
      <c r="AT34" s="722"/>
      <c r="AU34" s="729"/>
      <c r="AV34" s="722"/>
      <c r="AW34" s="722"/>
      <c r="AX34" s="247"/>
      <c r="AZ34" s="728"/>
      <c r="BA34" s="722"/>
      <c r="BB34" s="722"/>
      <c r="BC34" s="722"/>
      <c r="BD34" s="722"/>
      <c r="BE34" s="247"/>
      <c r="BF34" s="247"/>
      <c r="BG34" s="728"/>
      <c r="BH34" s="722"/>
      <c r="BI34" s="722"/>
      <c r="BJ34" s="722"/>
      <c r="BK34" s="722"/>
      <c r="BL34" s="722"/>
      <c r="BM34" s="729"/>
      <c r="BN34" s="722"/>
      <c r="BO34" s="247"/>
      <c r="BP34" s="722"/>
      <c r="CP34" s="247"/>
      <c r="CQ34" s="249"/>
      <c r="CR34" s="247"/>
      <c r="CS34" s="247"/>
      <c r="CT34" s="722"/>
      <c r="CU34" s="417"/>
      <c r="CV34" s="417"/>
      <c r="CW34" s="417"/>
      <c r="CX34" s="417"/>
      <c r="CY34" s="417"/>
      <c r="CZ34" s="417"/>
      <c r="DA34" s="417"/>
      <c r="DB34" s="417"/>
      <c r="DC34" s="417"/>
      <c r="DD34" s="417"/>
      <c r="DE34" s="417"/>
      <c r="DF34" s="417"/>
      <c r="DG34" s="417"/>
      <c r="DH34" s="417"/>
      <c r="DI34" s="417"/>
      <c r="DJ34" s="417"/>
      <c r="DK34" s="247"/>
      <c r="EH34" s="728"/>
      <c r="EI34" s="722"/>
      <c r="EJ34" s="722"/>
      <c r="EK34" s="722"/>
      <c r="EL34" s="722"/>
      <c r="EM34" s="722"/>
      <c r="EN34" s="722"/>
      <c r="EO34" s="722"/>
      <c r="EP34" s="722"/>
      <c r="EQ34" s="722"/>
      <c r="ER34" s="722"/>
      <c r="ES34" s="722"/>
      <c r="ET34" s="722"/>
      <c r="EU34" s="722"/>
      <c r="EV34" s="722"/>
      <c r="EW34" s="722"/>
      <c r="EX34" s="268"/>
      <c r="FA34" s="728"/>
      <c r="FB34" s="722"/>
      <c r="FC34" s="722"/>
      <c r="FD34" s="722"/>
      <c r="FE34" s="722"/>
      <c r="FF34" s="722"/>
      <c r="FG34" s="722"/>
      <c r="FH34" s="247"/>
      <c r="FI34" s="722"/>
      <c r="FJ34" s="250"/>
      <c r="FL34" s="722"/>
      <c r="FM34" s="722"/>
      <c r="FN34" s="247"/>
      <c r="FO34" s="247"/>
      <c r="FP34" s="247"/>
      <c r="FQ34" s="722"/>
    </row>
    <row r="35" spans="2:173" x14ac:dyDescent="0.25">
      <c r="B35" s="728"/>
      <c r="C35" s="722"/>
      <c r="D35" s="722"/>
      <c r="E35" s="375"/>
      <c r="F35" s="375"/>
      <c r="G35" s="722"/>
      <c r="H35" s="722"/>
      <c r="I35" s="722"/>
      <c r="J35" s="722"/>
      <c r="K35" s="722"/>
      <c r="L35" s="722"/>
      <c r="M35" s="722"/>
      <c r="N35" s="722"/>
      <c r="O35" s="722"/>
      <c r="P35" s="722"/>
      <c r="Q35" s="722"/>
      <c r="R35" s="741"/>
      <c r="S35" s="722"/>
      <c r="T35" s="722"/>
      <c r="U35" s="722"/>
      <c r="V35" s="722"/>
      <c r="X35" s="728"/>
      <c r="Y35" s="722"/>
      <c r="Z35" s="722"/>
      <c r="AA35" s="729"/>
      <c r="AB35" s="729"/>
      <c r="AC35" s="418"/>
      <c r="AD35" s="418"/>
      <c r="AE35" s="418"/>
      <c r="AF35" s="418"/>
      <c r="AG35" s="418"/>
      <c r="AH35" s="247"/>
      <c r="AJ35" s="728"/>
      <c r="AK35" s="722"/>
      <c r="AL35" s="722"/>
      <c r="AM35" s="722"/>
      <c r="AN35" s="247"/>
      <c r="AO35" s="722"/>
      <c r="AP35" s="728"/>
      <c r="AQ35" s="722"/>
      <c r="AR35" s="722"/>
      <c r="AS35" s="722"/>
      <c r="AT35" s="722"/>
      <c r="AU35" s="729"/>
      <c r="AV35" s="722"/>
      <c r="AW35" s="722"/>
      <c r="AX35" s="247"/>
      <c r="AZ35" s="728"/>
      <c r="BA35" s="722"/>
      <c r="BB35" s="722"/>
      <c r="BC35" s="722"/>
      <c r="BD35" s="722"/>
      <c r="BE35" s="247"/>
      <c r="BF35" s="247"/>
      <c r="BG35" s="728"/>
      <c r="BH35" s="722"/>
      <c r="BI35" s="722"/>
      <c r="BJ35" s="722"/>
      <c r="BK35" s="722"/>
      <c r="BL35" s="722"/>
      <c r="BM35" s="729"/>
      <c r="BN35" s="722"/>
      <c r="BO35" s="247"/>
      <c r="BP35" s="722"/>
      <c r="CP35" s="247"/>
      <c r="CQ35" s="249"/>
      <c r="CR35" s="247"/>
      <c r="CS35" s="247"/>
      <c r="CT35" s="722"/>
      <c r="CU35" s="417"/>
      <c r="CV35" s="417"/>
      <c r="CW35" s="417"/>
      <c r="CX35" s="417"/>
      <c r="CY35" s="417"/>
      <c r="CZ35" s="417"/>
      <c r="DA35" s="417"/>
      <c r="DB35" s="417"/>
      <c r="DC35" s="417"/>
      <c r="DD35" s="417"/>
      <c r="DE35" s="417"/>
      <c r="DF35" s="417"/>
      <c r="DG35" s="417"/>
      <c r="DH35" s="417"/>
      <c r="DI35" s="417"/>
      <c r="DJ35" s="417"/>
      <c r="DK35" s="247"/>
      <c r="EH35" s="728"/>
      <c r="EI35" s="722"/>
      <c r="EJ35" s="722"/>
      <c r="EK35" s="722"/>
      <c r="EL35" s="722"/>
      <c r="EM35" s="722"/>
      <c r="EN35" s="722"/>
      <c r="EO35" s="722"/>
      <c r="EP35" s="722"/>
      <c r="EQ35" s="722"/>
      <c r="ER35" s="722"/>
      <c r="ES35" s="722"/>
      <c r="ET35" s="722"/>
      <c r="EU35" s="722"/>
      <c r="EV35" s="722"/>
      <c r="EW35" s="722"/>
      <c r="EX35" s="268"/>
      <c r="FA35" s="728"/>
      <c r="FB35" s="722"/>
      <c r="FC35" s="722"/>
      <c r="FD35" s="722"/>
      <c r="FE35" s="722"/>
      <c r="FF35" s="722"/>
      <c r="FG35" s="722"/>
      <c r="FH35" s="247"/>
      <c r="FI35" s="722"/>
      <c r="FJ35" s="250"/>
      <c r="FL35" s="722"/>
      <c r="FM35" s="722"/>
      <c r="FN35" s="247"/>
      <c r="FO35" s="247"/>
      <c r="FP35" s="247"/>
      <c r="FQ35" s="722"/>
    </row>
    <row r="36" spans="2:173" x14ac:dyDescent="0.25">
      <c r="B36" s="728"/>
      <c r="C36" s="722"/>
      <c r="D36" s="722"/>
      <c r="E36" s="375"/>
      <c r="F36" s="375"/>
      <c r="G36" s="722"/>
      <c r="H36" s="722"/>
      <c r="I36" s="722"/>
      <c r="J36" s="722"/>
      <c r="K36" s="722"/>
      <c r="L36" s="722"/>
      <c r="M36" s="722"/>
      <c r="N36" s="722"/>
      <c r="O36" s="722"/>
      <c r="P36" s="722"/>
      <c r="Q36" s="722"/>
      <c r="R36" s="741"/>
      <c r="S36" s="722"/>
      <c r="T36" s="722"/>
      <c r="U36" s="722"/>
      <c r="V36" s="722"/>
      <c r="X36" s="728"/>
      <c r="Y36" s="722"/>
      <c r="Z36" s="722"/>
      <c r="AA36" s="729"/>
      <c r="AB36" s="729"/>
      <c r="AC36" s="418"/>
      <c r="AD36" s="418"/>
      <c r="AE36" s="418"/>
      <c r="AF36" s="418"/>
      <c r="AG36" s="418"/>
      <c r="AH36" s="247"/>
      <c r="AJ36" s="728"/>
      <c r="AK36" s="722"/>
      <c r="AL36" s="722"/>
      <c r="AM36" s="722"/>
      <c r="AN36" s="247"/>
      <c r="AO36" s="722"/>
      <c r="AP36" s="728"/>
      <c r="AQ36" s="722"/>
      <c r="AR36" s="722"/>
      <c r="AS36" s="722"/>
      <c r="AT36" s="722"/>
      <c r="AU36" s="729"/>
      <c r="AV36" s="722"/>
      <c r="AW36" s="722"/>
      <c r="AX36" s="247"/>
      <c r="AZ36" s="728"/>
      <c r="BA36" s="722"/>
      <c r="BB36" s="722"/>
      <c r="BC36" s="722"/>
      <c r="BD36" s="722"/>
      <c r="BE36" s="247"/>
      <c r="BF36" s="247"/>
      <c r="BG36" s="728"/>
      <c r="BH36" s="722"/>
      <c r="BI36" s="722"/>
      <c r="BJ36" s="722"/>
      <c r="BK36" s="722"/>
      <c r="BL36" s="722"/>
      <c r="BM36" s="729"/>
      <c r="BN36" s="722"/>
      <c r="BO36" s="247"/>
      <c r="BP36" s="722"/>
      <c r="CP36" s="247"/>
      <c r="CQ36" s="249"/>
      <c r="CR36" s="247"/>
      <c r="CS36" s="247"/>
      <c r="CT36" s="722"/>
      <c r="CU36" s="417"/>
      <c r="CV36" s="417"/>
      <c r="CW36" s="417"/>
      <c r="CX36" s="417"/>
      <c r="CY36" s="417"/>
      <c r="CZ36" s="417"/>
      <c r="DA36" s="417"/>
      <c r="DB36" s="417"/>
      <c r="DC36" s="417"/>
      <c r="DD36" s="417"/>
      <c r="DE36" s="417"/>
      <c r="DF36" s="417"/>
      <c r="DG36" s="417"/>
      <c r="DH36" s="417"/>
      <c r="DI36" s="417"/>
      <c r="DJ36" s="417"/>
      <c r="DK36" s="247"/>
      <c r="EH36" s="728"/>
      <c r="EI36" s="722"/>
      <c r="EJ36" s="722"/>
      <c r="EK36" s="722"/>
      <c r="EL36" s="722"/>
      <c r="EM36" s="722"/>
      <c r="EN36" s="722"/>
      <c r="EO36" s="722"/>
      <c r="EP36" s="722"/>
      <c r="EQ36" s="722"/>
      <c r="ER36" s="722"/>
      <c r="ES36" s="722"/>
      <c r="ET36" s="722"/>
      <c r="EU36" s="722"/>
      <c r="EV36" s="722"/>
      <c r="EW36" s="722"/>
      <c r="EX36" s="268"/>
      <c r="FA36" s="728"/>
      <c r="FB36" s="722"/>
      <c r="FC36" s="722"/>
      <c r="FD36" s="722"/>
      <c r="FE36" s="722"/>
      <c r="FF36" s="722"/>
      <c r="FG36" s="722"/>
      <c r="FH36" s="247"/>
      <c r="FI36" s="722"/>
      <c r="FJ36" s="250"/>
      <c r="FL36" s="722"/>
      <c r="FM36" s="722"/>
      <c r="FN36" s="247"/>
      <c r="FO36" s="247"/>
      <c r="FP36" s="247"/>
      <c r="FQ36" s="722"/>
    </row>
    <row r="37" spans="2:173" x14ac:dyDescent="0.25">
      <c r="B37" s="728"/>
      <c r="C37" s="722"/>
      <c r="D37" s="722"/>
      <c r="E37" s="375"/>
      <c r="F37" s="375"/>
      <c r="G37" s="722"/>
      <c r="H37" s="722"/>
      <c r="I37" s="722"/>
      <c r="J37" s="722"/>
      <c r="K37" s="722"/>
      <c r="L37" s="722"/>
      <c r="M37" s="722"/>
      <c r="N37" s="722"/>
      <c r="O37" s="722"/>
      <c r="P37" s="722"/>
      <c r="Q37" s="722"/>
      <c r="R37" s="741"/>
      <c r="S37" s="722"/>
      <c r="T37" s="722"/>
      <c r="U37" s="722"/>
      <c r="V37" s="722"/>
      <c r="X37" s="728"/>
      <c r="Y37" s="722"/>
      <c r="Z37" s="722"/>
      <c r="AA37" s="729"/>
      <c r="AB37" s="729"/>
      <c r="AC37" s="418"/>
      <c r="AD37" s="418"/>
      <c r="AE37" s="418"/>
      <c r="AF37" s="418"/>
      <c r="AG37" s="418"/>
      <c r="AH37" s="247"/>
      <c r="AJ37" s="728"/>
      <c r="AK37" s="722"/>
      <c r="AL37" s="722"/>
      <c r="AM37" s="722"/>
      <c r="AN37" s="247"/>
      <c r="AO37" s="722"/>
      <c r="AP37" s="728"/>
      <c r="AQ37" s="722"/>
      <c r="AR37" s="722"/>
      <c r="AS37" s="722"/>
      <c r="AT37" s="722"/>
      <c r="AU37" s="729"/>
      <c r="AV37" s="722"/>
      <c r="AW37" s="722"/>
      <c r="AX37" s="247"/>
      <c r="AZ37" s="728"/>
      <c r="BA37" s="722"/>
      <c r="BB37" s="722"/>
      <c r="BC37" s="722"/>
      <c r="BD37" s="722"/>
      <c r="BE37" s="247"/>
      <c r="BF37" s="247"/>
      <c r="BG37" s="728"/>
      <c r="BH37" s="722"/>
      <c r="BI37" s="722"/>
      <c r="BJ37" s="722"/>
      <c r="BK37" s="722"/>
      <c r="BL37" s="722"/>
      <c r="BM37" s="729"/>
      <c r="BN37" s="722"/>
      <c r="BO37" s="247"/>
      <c r="BP37" s="722"/>
      <c r="CP37" s="247"/>
      <c r="CQ37" s="249"/>
      <c r="CR37" s="247"/>
      <c r="CS37" s="247"/>
      <c r="CT37" s="722"/>
      <c r="CU37" s="417"/>
      <c r="CV37" s="417"/>
      <c r="CW37" s="417"/>
      <c r="CX37" s="417"/>
      <c r="CY37" s="417"/>
      <c r="CZ37" s="417"/>
      <c r="DA37" s="417"/>
      <c r="DB37" s="417"/>
      <c r="DC37" s="417"/>
      <c r="DD37" s="417"/>
      <c r="DE37" s="417"/>
      <c r="DF37" s="417"/>
      <c r="DG37" s="417"/>
      <c r="DH37" s="417"/>
      <c r="DI37" s="417"/>
      <c r="DJ37" s="417"/>
      <c r="DK37" s="247"/>
      <c r="EH37" s="728"/>
      <c r="EI37" s="722"/>
      <c r="EJ37" s="722"/>
      <c r="EK37" s="722"/>
      <c r="EL37" s="722"/>
      <c r="EM37" s="722"/>
      <c r="EN37" s="722"/>
      <c r="EO37" s="722"/>
      <c r="EP37" s="722"/>
      <c r="EQ37" s="722"/>
      <c r="ER37" s="722"/>
      <c r="ES37" s="722"/>
      <c r="ET37" s="722"/>
      <c r="EU37" s="722"/>
      <c r="EV37" s="722"/>
      <c r="EW37" s="722"/>
      <c r="EX37" s="268"/>
      <c r="FA37" s="728"/>
      <c r="FB37" s="722"/>
      <c r="FC37" s="722"/>
      <c r="FD37" s="722"/>
      <c r="FE37" s="722"/>
      <c r="FF37" s="722"/>
      <c r="FG37" s="722"/>
      <c r="FH37" s="247"/>
      <c r="FI37" s="722"/>
      <c r="FJ37" s="250"/>
      <c r="FL37" s="722"/>
      <c r="FM37" s="722"/>
      <c r="FN37" s="247"/>
      <c r="FO37" s="247"/>
      <c r="FP37" s="247"/>
      <c r="FQ37" s="722"/>
    </row>
    <row r="38" spans="2:173" x14ac:dyDescent="0.25">
      <c r="B38" s="728"/>
      <c r="C38" s="722"/>
      <c r="D38" s="722"/>
      <c r="E38" s="375"/>
      <c r="F38" s="375"/>
      <c r="G38" s="722"/>
      <c r="H38" s="722"/>
      <c r="I38" s="722"/>
      <c r="J38" s="722"/>
      <c r="K38" s="722"/>
      <c r="L38" s="722"/>
      <c r="M38" s="722"/>
      <c r="N38" s="722"/>
      <c r="O38" s="722"/>
      <c r="P38" s="722"/>
      <c r="Q38" s="722"/>
      <c r="R38" s="741"/>
      <c r="S38" s="722"/>
      <c r="T38" s="722"/>
      <c r="U38" s="722"/>
      <c r="V38" s="722"/>
      <c r="X38" s="728"/>
      <c r="Y38" s="722"/>
      <c r="Z38" s="722"/>
      <c r="AA38" s="729"/>
      <c r="AB38" s="729"/>
      <c r="AC38" s="418"/>
      <c r="AD38" s="418"/>
      <c r="AE38" s="418"/>
      <c r="AF38" s="418"/>
      <c r="AG38" s="418"/>
      <c r="AH38" s="247"/>
      <c r="AJ38" s="728"/>
      <c r="AK38" s="722"/>
      <c r="AL38" s="722"/>
      <c r="AM38" s="722"/>
      <c r="AN38" s="247"/>
      <c r="AO38" s="722"/>
      <c r="AP38" s="728"/>
      <c r="AQ38" s="722"/>
      <c r="AR38" s="722"/>
      <c r="AS38" s="722"/>
      <c r="AT38" s="722"/>
      <c r="AU38" s="729"/>
      <c r="AV38" s="722"/>
      <c r="AW38" s="722"/>
      <c r="AX38" s="247"/>
      <c r="AZ38" s="728"/>
      <c r="BA38" s="722"/>
      <c r="BB38" s="722"/>
      <c r="BC38" s="722"/>
      <c r="BD38" s="722"/>
      <c r="BE38" s="247"/>
      <c r="BF38" s="247"/>
      <c r="BG38" s="728"/>
      <c r="BH38" s="722"/>
      <c r="BI38" s="722"/>
      <c r="BJ38" s="722"/>
      <c r="BK38" s="722"/>
      <c r="BL38" s="722"/>
      <c r="BM38" s="729"/>
      <c r="BN38" s="722"/>
      <c r="BO38" s="247"/>
      <c r="BP38" s="722"/>
      <c r="CP38" s="247"/>
      <c r="CQ38" s="249"/>
      <c r="CR38" s="247"/>
      <c r="CS38" s="247"/>
      <c r="CT38" s="722"/>
      <c r="CU38" s="417"/>
      <c r="CV38" s="417"/>
      <c r="CW38" s="417"/>
      <c r="CX38" s="417"/>
      <c r="CY38" s="417"/>
      <c r="CZ38" s="417"/>
      <c r="DA38" s="417"/>
      <c r="DB38" s="417"/>
      <c r="DC38" s="417"/>
      <c r="DD38" s="417"/>
      <c r="DE38" s="417"/>
      <c r="DF38" s="417"/>
      <c r="DG38" s="417"/>
      <c r="DH38" s="417"/>
      <c r="DI38" s="417"/>
      <c r="DJ38" s="417"/>
      <c r="DK38" s="247"/>
      <c r="EH38" s="728"/>
      <c r="EI38" s="722"/>
      <c r="EJ38" s="722"/>
      <c r="EK38" s="722"/>
      <c r="EL38" s="722"/>
      <c r="EM38" s="722"/>
      <c r="EN38" s="722"/>
      <c r="EO38" s="722"/>
      <c r="EP38" s="722"/>
      <c r="EQ38" s="722"/>
      <c r="ER38" s="722"/>
      <c r="ES38" s="722"/>
      <c r="ET38" s="722"/>
      <c r="EU38" s="722"/>
      <c r="EV38" s="722"/>
      <c r="EW38" s="722"/>
      <c r="EX38" s="268"/>
      <c r="FA38" s="728"/>
      <c r="FB38" s="722"/>
      <c r="FC38" s="722"/>
      <c r="FD38" s="722"/>
      <c r="FE38" s="722"/>
      <c r="FF38" s="722"/>
      <c r="FG38" s="722"/>
      <c r="FH38" s="247"/>
      <c r="FI38" s="722"/>
      <c r="FJ38" s="250"/>
      <c r="FL38" s="722"/>
      <c r="FM38" s="722"/>
      <c r="FN38" s="247"/>
      <c r="FO38" s="247"/>
      <c r="FP38" s="247"/>
      <c r="FQ38" s="722"/>
    </row>
    <row r="39" spans="2:173" x14ac:dyDescent="0.25">
      <c r="B39" s="728"/>
      <c r="C39" s="722"/>
      <c r="D39" s="722"/>
      <c r="E39" s="375"/>
      <c r="F39" s="375"/>
      <c r="G39" s="722"/>
      <c r="H39" s="722"/>
      <c r="I39" s="722"/>
      <c r="J39" s="722"/>
      <c r="K39" s="722"/>
      <c r="L39" s="722"/>
      <c r="M39" s="722"/>
      <c r="N39" s="722"/>
      <c r="O39" s="722"/>
      <c r="P39" s="722"/>
      <c r="Q39" s="722"/>
      <c r="R39" s="741"/>
      <c r="S39" s="722"/>
      <c r="T39" s="722"/>
      <c r="U39" s="722"/>
      <c r="V39" s="722"/>
      <c r="X39" s="728"/>
      <c r="Y39" s="722"/>
      <c r="Z39" s="722"/>
      <c r="AA39" s="729"/>
      <c r="AB39" s="729"/>
      <c r="AC39" s="418"/>
      <c r="AD39" s="418"/>
      <c r="AE39" s="418"/>
      <c r="AF39" s="418"/>
      <c r="AG39" s="418"/>
      <c r="AH39" s="247"/>
      <c r="AJ39" s="728"/>
      <c r="AK39" s="722"/>
      <c r="AL39" s="722"/>
      <c r="AM39" s="722"/>
      <c r="AN39" s="247"/>
      <c r="AO39" s="722"/>
      <c r="AP39" s="728"/>
      <c r="AQ39" s="722"/>
      <c r="AR39" s="722"/>
      <c r="AS39" s="722"/>
      <c r="AT39" s="722"/>
      <c r="AU39" s="729"/>
      <c r="AV39" s="722"/>
      <c r="AW39" s="722"/>
      <c r="AX39" s="247"/>
      <c r="AZ39" s="728"/>
      <c r="BA39" s="722"/>
      <c r="BB39" s="722"/>
      <c r="BC39" s="722"/>
      <c r="BD39" s="722"/>
      <c r="BE39" s="247"/>
      <c r="BF39" s="247"/>
      <c r="BG39" s="728"/>
      <c r="BH39" s="722"/>
      <c r="BI39" s="722"/>
      <c r="BJ39" s="722"/>
      <c r="BK39" s="722"/>
      <c r="BL39" s="722"/>
      <c r="BM39" s="729"/>
      <c r="BN39" s="722"/>
      <c r="BO39" s="247"/>
      <c r="BP39" s="722"/>
      <c r="CP39" s="247"/>
      <c r="CQ39" s="249"/>
      <c r="CR39" s="247"/>
      <c r="CS39" s="247"/>
      <c r="CT39" s="722"/>
      <c r="CU39" s="417"/>
      <c r="CV39" s="417"/>
      <c r="CW39" s="417"/>
      <c r="CX39" s="417"/>
      <c r="CY39" s="417"/>
      <c r="CZ39" s="417"/>
      <c r="DA39" s="417"/>
      <c r="DB39" s="417"/>
      <c r="DC39" s="417"/>
      <c r="DD39" s="417"/>
      <c r="DE39" s="417"/>
      <c r="DF39" s="417"/>
      <c r="DG39" s="417"/>
      <c r="DH39" s="417"/>
      <c r="DI39" s="417"/>
      <c r="DJ39" s="417"/>
      <c r="DK39" s="247"/>
      <c r="EH39" s="728"/>
      <c r="EI39" s="722"/>
      <c r="EJ39" s="722"/>
      <c r="EK39" s="722"/>
      <c r="EL39" s="722"/>
      <c r="EM39" s="722"/>
      <c r="EN39" s="722"/>
      <c r="EO39" s="722"/>
      <c r="EP39" s="722"/>
      <c r="EQ39" s="722"/>
      <c r="ER39" s="722"/>
      <c r="ES39" s="722"/>
      <c r="ET39" s="722"/>
      <c r="EU39" s="722"/>
      <c r="EV39" s="722"/>
      <c r="EW39" s="722"/>
      <c r="EX39" s="268"/>
      <c r="FA39" s="728"/>
      <c r="FB39" s="722"/>
      <c r="FC39" s="722"/>
      <c r="FD39" s="722"/>
      <c r="FE39" s="722"/>
      <c r="FF39" s="722"/>
      <c r="FG39" s="722"/>
      <c r="FH39" s="247"/>
      <c r="FI39" s="722"/>
      <c r="FJ39" s="250"/>
      <c r="FL39" s="722"/>
      <c r="FM39" s="722"/>
      <c r="FN39" s="247"/>
      <c r="FO39" s="247"/>
      <c r="FP39" s="247"/>
      <c r="FQ39" s="722"/>
    </row>
    <row r="40" spans="2:173" x14ac:dyDescent="0.25">
      <c r="B40" s="728"/>
      <c r="C40" s="722"/>
      <c r="D40" s="722"/>
      <c r="E40" s="375"/>
      <c r="F40" s="375"/>
      <c r="G40" s="722"/>
      <c r="H40" s="722"/>
      <c r="I40" s="722"/>
      <c r="J40" s="722"/>
      <c r="K40" s="722"/>
      <c r="L40" s="722"/>
      <c r="M40" s="722"/>
      <c r="N40" s="722"/>
      <c r="O40" s="722"/>
      <c r="P40" s="722"/>
      <c r="Q40" s="722"/>
      <c r="R40" s="741"/>
      <c r="S40" s="722"/>
      <c r="T40" s="722"/>
      <c r="U40" s="722"/>
      <c r="V40" s="722"/>
      <c r="X40" s="728"/>
      <c r="Y40" s="722"/>
      <c r="Z40" s="722"/>
      <c r="AA40" s="729"/>
      <c r="AB40" s="729"/>
      <c r="AC40" s="418"/>
      <c r="AD40" s="418"/>
      <c r="AE40" s="418"/>
      <c r="AF40" s="418"/>
      <c r="AG40" s="418"/>
      <c r="AH40" s="247"/>
      <c r="AJ40" s="728"/>
      <c r="AK40" s="722"/>
      <c r="AL40" s="722"/>
      <c r="AM40" s="722"/>
      <c r="AN40" s="247"/>
      <c r="AO40" s="722"/>
      <c r="AP40" s="728"/>
      <c r="AQ40" s="722"/>
      <c r="AR40" s="722"/>
      <c r="AS40" s="722"/>
      <c r="AT40" s="722"/>
      <c r="AU40" s="729"/>
      <c r="AV40" s="722"/>
      <c r="AW40" s="722"/>
      <c r="AX40" s="247"/>
      <c r="AZ40" s="728"/>
      <c r="BA40" s="722"/>
      <c r="BB40" s="722"/>
      <c r="BC40" s="722"/>
      <c r="BD40" s="722"/>
      <c r="BE40" s="247"/>
      <c r="BF40" s="247"/>
      <c r="BG40" s="728"/>
      <c r="BH40" s="722"/>
      <c r="BI40" s="722"/>
      <c r="BJ40" s="722"/>
      <c r="BK40" s="722"/>
      <c r="BL40" s="722"/>
      <c r="BM40" s="729"/>
      <c r="BN40" s="722"/>
      <c r="BO40" s="247"/>
      <c r="BP40" s="722"/>
      <c r="CP40" s="247"/>
      <c r="CQ40" s="249"/>
      <c r="CR40" s="247"/>
      <c r="CS40" s="247"/>
      <c r="CT40" s="247"/>
      <c r="CU40" s="417"/>
      <c r="CV40" s="417"/>
      <c r="CW40" s="417"/>
      <c r="CX40" s="417"/>
      <c r="CY40" s="417"/>
      <c r="CZ40" s="417"/>
      <c r="DA40" s="417"/>
      <c r="DB40" s="417"/>
      <c r="DC40" s="417"/>
      <c r="DD40" s="417"/>
      <c r="DE40" s="417"/>
      <c r="DF40" s="417"/>
      <c r="DG40" s="417"/>
      <c r="DH40" s="417"/>
      <c r="DI40" s="417"/>
      <c r="DJ40" s="417"/>
      <c r="DK40" s="247"/>
      <c r="EH40" s="728"/>
      <c r="EI40" s="722"/>
      <c r="EJ40" s="722"/>
      <c r="EK40" s="722"/>
      <c r="EL40" s="722"/>
      <c r="EM40" s="722"/>
      <c r="EN40" s="722"/>
      <c r="EO40" s="722"/>
      <c r="EP40" s="722"/>
      <c r="EQ40" s="722"/>
      <c r="ER40" s="722"/>
      <c r="ES40" s="722"/>
      <c r="ET40" s="722"/>
      <c r="EU40" s="722"/>
      <c r="EV40" s="722"/>
      <c r="EW40" s="722"/>
      <c r="EX40" s="268"/>
      <c r="FA40" s="728"/>
      <c r="FB40" s="722"/>
      <c r="FC40" s="722"/>
      <c r="FD40" s="722"/>
      <c r="FE40" s="722"/>
      <c r="FF40" s="722"/>
      <c r="FG40" s="722"/>
      <c r="FH40" s="247"/>
      <c r="FI40" s="722"/>
      <c r="FJ40" s="250"/>
      <c r="FL40" s="722"/>
      <c r="FM40" s="722"/>
      <c r="FN40" s="247"/>
      <c r="FO40" s="247"/>
      <c r="FP40" s="247"/>
      <c r="FQ40" s="722"/>
    </row>
    <row r="41" spans="2:173" x14ac:dyDescent="0.25">
      <c r="B41" s="728"/>
      <c r="C41" s="722"/>
      <c r="D41" s="722"/>
      <c r="E41" s="375"/>
      <c r="F41" s="375"/>
      <c r="G41" s="722"/>
      <c r="H41" s="722"/>
      <c r="I41" s="722"/>
      <c r="J41" s="722"/>
      <c r="K41" s="722"/>
      <c r="L41" s="722"/>
      <c r="M41" s="722"/>
      <c r="N41" s="722"/>
      <c r="O41" s="722"/>
      <c r="P41" s="722"/>
      <c r="Q41" s="722"/>
      <c r="R41" s="741"/>
      <c r="S41" s="722"/>
      <c r="T41" s="722"/>
      <c r="U41" s="722"/>
      <c r="V41" s="722"/>
      <c r="X41" s="728"/>
      <c r="Y41" s="722"/>
      <c r="Z41" s="722"/>
      <c r="AA41" s="729"/>
      <c r="AB41" s="729"/>
      <c r="AC41" s="418"/>
      <c r="AD41" s="418"/>
      <c r="AE41" s="418"/>
      <c r="AF41" s="418"/>
      <c r="AG41" s="418"/>
      <c r="AH41" s="247"/>
      <c r="AJ41" s="728"/>
      <c r="AK41" s="722"/>
      <c r="AL41" s="722"/>
      <c r="AM41" s="722"/>
      <c r="AN41" s="247"/>
      <c r="AO41" s="722"/>
      <c r="AP41" s="728"/>
      <c r="AQ41" s="722"/>
      <c r="AR41" s="722"/>
      <c r="AS41" s="722"/>
      <c r="AT41" s="722"/>
      <c r="AU41" s="729"/>
      <c r="AV41" s="722"/>
      <c r="AW41" s="722"/>
      <c r="AX41" s="247"/>
      <c r="AZ41" s="728"/>
      <c r="BA41" s="722"/>
      <c r="BB41" s="722"/>
      <c r="BC41" s="722"/>
      <c r="BD41" s="722"/>
      <c r="BE41" s="247"/>
      <c r="BF41" s="247"/>
      <c r="BG41" s="728"/>
      <c r="BH41" s="722"/>
      <c r="BI41" s="722"/>
      <c r="BJ41" s="722"/>
      <c r="BK41" s="722"/>
      <c r="BL41" s="722"/>
      <c r="BM41" s="729"/>
      <c r="BN41" s="722"/>
      <c r="BO41" s="247"/>
      <c r="BP41" s="722"/>
      <c r="CP41" s="247"/>
      <c r="CQ41" s="249"/>
      <c r="CR41" s="247"/>
      <c r="CS41" s="247"/>
      <c r="CT41" s="247"/>
      <c r="CU41" s="417"/>
      <c r="CV41" s="417"/>
      <c r="CW41" s="417"/>
      <c r="CX41" s="417"/>
      <c r="CY41" s="417"/>
      <c r="CZ41" s="417"/>
      <c r="DA41" s="417"/>
      <c r="DB41" s="417"/>
      <c r="DC41" s="417"/>
      <c r="DD41" s="417"/>
      <c r="DE41" s="417"/>
      <c r="DF41" s="417"/>
      <c r="DG41" s="417"/>
      <c r="DH41" s="417"/>
      <c r="DI41" s="417"/>
      <c r="DJ41" s="417"/>
      <c r="DK41" s="247"/>
      <c r="EH41" s="728"/>
      <c r="EI41" s="722"/>
      <c r="EJ41" s="722"/>
      <c r="EK41" s="722"/>
      <c r="EL41" s="722"/>
      <c r="EM41" s="722"/>
      <c r="EN41" s="722"/>
      <c r="EO41" s="722"/>
      <c r="EP41" s="722"/>
      <c r="EQ41" s="722"/>
      <c r="ER41" s="722"/>
      <c r="ES41" s="722"/>
      <c r="ET41" s="722"/>
      <c r="EU41" s="722"/>
      <c r="EV41" s="722"/>
      <c r="EW41" s="722"/>
      <c r="EX41" s="268"/>
      <c r="FA41" s="728"/>
      <c r="FB41" s="722"/>
      <c r="FC41" s="722"/>
      <c r="FD41" s="722"/>
      <c r="FE41" s="722"/>
      <c r="FF41" s="722"/>
      <c r="FG41" s="722"/>
      <c r="FH41" s="247"/>
      <c r="FI41" s="722"/>
      <c r="FJ41" s="250"/>
      <c r="FL41" s="722"/>
      <c r="FM41" s="722"/>
      <c r="FN41" s="247"/>
      <c r="FO41" s="247"/>
      <c r="FP41" s="247"/>
      <c r="FQ41" s="722"/>
    </row>
    <row r="42" spans="2:173" x14ac:dyDescent="0.25">
      <c r="B42" s="728"/>
      <c r="C42" s="722"/>
      <c r="D42" s="722"/>
      <c r="E42" s="375"/>
      <c r="F42" s="375"/>
      <c r="G42" s="722"/>
      <c r="H42" s="722"/>
      <c r="I42" s="722"/>
      <c r="J42" s="722"/>
      <c r="K42" s="722"/>
      <c r="L42" s="722"/>
      <c r="M42" s="722"/>
      <c r="N42" s="722"/>
      <c r="O42" s="722"/>
      <c r="P42" s="722"/>
      <c r="Q42" s="722"/>
      <c r="R42" s="741"/>
      <c r="S42" s="722"/>
      <c r="T42" s="722"/>
      <c r="U42" s="722"/>
      <c r="V42" s="722"/>
      <c r="X42" s="728"/>
      <c r="Y42" s="722"/>
      <c r="Z42" s="722"/>
      <c r="AA42" s="729"/>
      <c r="AB42" s="729"/>
      <c r="AC42" s="418"/>
      <c r="AD42" s="418"/>
      <c r="AE42" s="418"/>
      <c r="AF42" s="418"/>
      <c r="AG42" s="418"/>
      <c r="AH42" s="247"/>
      <c r="AJ42" s="728"/>
      <c r="AK42" s="722"/>
      <c r="AL42" s="722"/>
      <c r="AM42" s="722"/>
      <c r="AN42" s="247"/>
      <c r="AO42" s="722"/>
      <c r="AP42" s="728"/>
      <c r="AQ42" s="722"/>
      <c r="AR42" s="722"/>
      <c r="AS42" s="722"/>
      <c r="AT42" s="722"/>
      <c r="AU42" s="729"/>
      <c r="AV42" s="722"/>
      <c r="AW42" s="722"/>
      <c r="AX42" s="247"/>
      <c r="AZ42" s="728"/>
      <c r="BA42" s="722"/>
      <c r="BB42" s="722"/>
      <c r="BC42" s="722"/>
      <c r="BD42" s="722"/>
      <c r="BE42" s="247"/>
      <c r="BF42" s="247"/>
      <c r="BG42" s="728"/>
      <c r="BH42" s="722"/>
      <c r="BI42" s="722"/>
      <c r="BJ42" s="722"/>
      <c r="BK42" s="722"/>
      <c r="BL42" s="722"/>
      <c r="BM42" s="729"/>
      <c r="BN42" s="722"/>
      <c r="BO42" s="247"/>
      <c r="BP42" s="722"/>
      <c r="CP42" s="247"/>
      <c r="CQ42" s="249"/>
      <c r="CR42" s="247"/>
      <c r="CS42" s="247"/>
      <c r="CT42" s="247"/>
      <c r="CU42" s="417"/>
      <c r="CV42" s="417"/>
      <c r="CW42" s="417"/>
      <c r="CX42" s="417"/>
      <c r="CY42" s="417"/>
      <c r="CZ42" s="417"/>
      <c r="DA42" s="417"/>
      <c r="DB42" s="417"/>
      <c r="DC42" s="417"/>
      <c r="DD42" s="417"/>
      <c r="DE42" s="417"/>
      <c r="DF42" s="417"/>
      <c r="DG42" s="417"/>
      <c r="DH42" s="417"/>
      <c r="DI42" s="417"/>
      <c r="DJ42" s="417"/>
      <c r="DK42" s="247"/>
      <c r="EH42" s="728"/>
      <c r="EI42" s="722"/>
      <c r="EJ42" s="722"/>
      <c r="EK42" s="722"/>
      <c r="EL42" s="722"/>
      <c r="EM42" s="722"/>
      <c r="EN42" s="722"/>
      <c r="EO42" s="722"/>
      <c r="EP42" s="722"/>
      <c r="EQ42" s="722"/>
      <c r="ER42" s="722"/>
      <c r="ES42" s="722"/>
      <c r="ET42" s="722"/>
      <c r="EU42" s="722"/>
      <c r="EV42" s="722"/>
      <c r="EW42" s="722"/>
      <c r="EX42" s="268"/>
      <c r="FA42" s="728"/>
      <c r="FB42" s="722"/>
      <c r="FC42" s="722"/>
      <c r="FD42" s="722"/>
      <c r="FE42" s="722"/>
      <c r="FF42" s="722"/>
      <c r="FG42" s="722"/>
      <c r="FH42" s="247"/>
      <c r="FI42" s="722"/>
      <c r="FJ42" s="250"/>
      <c r="FL42" s="722"/>
      <c r="FM42" s="722"/>
      <c r="FN42" s="247"/>
      <c r="FO42" s="247"/>
      <c r="FP42" s="247"/>
      <c r="FQ42" s="722"/>
    </row>
    <row r="43" spans="2:173" x14ac:dyDescent="0.25">
      <c r="B43" s="728"/>
      <c r="C43" s="722"/>
      <c r="D43" s="722"/>
      <c r="E43" s="375"/>
      <c r="F43" s="375"/>
      <c r="G43" s="722"/>
      <c r="H43" s="722"/>
      <c r="I43" s="722"/>
      <c r="J43" s="722"/>
      <c r="K43" s="722"/>
      <c r="L43" s="722"/>
      <c r="M43" s="722"/>
      <c r="N43" s="722"/>
      <c r="O43" s="722"/>
      <c r="P43" s="722"/>
      <c r="Q43" s="722"/>
      <c r="R43" s="741"/>
      <c r="S43" s="722"/>
      <c r="T43" s="722"/>
      <c r="U43" s="722"/>
      <c r="V43" s="722"/>
      <c r="X43" s="728"/>
      <c r="Y43" s="722"/>
      <c r="Z43" s="722"/>
      <c r="AA43" s="729"/>
      <c r="AB43" s="729"/>
      <c r="AC43" s="418"/>
      <c r="AD43" s="418"/>
      <c r="AE43" s="418"/>
      <c r="AF43" s="418"/>
      <c r="AG43" s="418"/>
      <c r="AH43" s="247"/>
      <c r="AJ43" s="728"/>
      <c r="AK43" s="722"/>
      <c r="AL43" s="722"/>
      <c r="AM43" s="722"/>
      <c r="AN43" s="247"/>
      <c r="AO43" s="722"/>
      <c r="AP43" s="728"/>
      <c r="AQ43" s="722"/>
      <c r="AR43" s="722"/>
      <c r="AS43" s="722"/>
      <c r="AT43" s="722"/>
      <c r="AU43" s="729"/>
      <c r="AV43" s="722"/>
      <c r="AW43" s="722"/>
      <c r="AX43" s="247"/>
      <c r="AZ43" s="728"/>
      <c r="BA43" s="722"/>
      <c r="BB43" s="722"/>
      <c r="BC43" s="722"/>
      <c r="BD43" s="722"/>
      <c r="BE43" s="247"/>
      <c r="BF43" s="247"/>
      <c r="BG43" s="728"/>
      <c r="BH43" s="722"/>
      <c r="BI43" s="722"/>
      <c r="BJ43" s="722"/>
      <c r="BK43" s="722"/>
      <c r="BL43" s="722"/>
      <c r="BM43" s="729"/>
      <c r="BN43" s="722"/>
      <c r="BO43" s="247"/>
      <c r="BP43" s="722"/>
      <c r="CP43" s="247"/>
      <c r="CQ43" s="249"/>
      <c r="CR43" s="247"/>
      <c r="CS43" s="247"/>
      <c r="CT43" s="247"/>
      <c r="CU43" s="417"/>
      <c r="CV43" s="417"/>
      <c r="CW43" s="417"/>
      <c r="CX43" s="417"/>
      <c r="CY43" s="417"/>
      <c r="CZ43" s="417"/>
      <c r="DA43" s="417"/>
      <c r="DB43" s="417"/>
      <c r="DC43" s="417"/>
      <c r="DD43" s="417"/>
      <c r="DE43" s="417"/>
      <c r="DF43" s="417"/>
      <c r="DG43" s="417"/>
      <c r="DH43" s="417"/>
      <c r="DI43" s="417"/>
      <c r="DJ43" s="417"/>
      <c r="DK43" s="247"/>
      <c r="EH43" s="728"/>
      <c r="EI43" s="722"/>
      <c r="EJ43" s="722"/>
      <c r="EK43" s="722"/>
      <c r="EL43" s="722"/>
      <c r="EM43" s="722"/>
      <c r="EN43" s="722"/>
      <c r="EO43" s="722"/>
      <c r="EP43" s="722"/>
      <c r="EQ43" s="722"/>
      <c r="ER43" s="722"/>
      <c r="ES43" s="722"/>
      <c r="ET43" s="722"/>
      <c r="EU43" s="722"/>
      <c r="EV43" s="722"/>
      <c r="EW43" s="722"/>
      <c r="EX43" s="268"/>
      <c r="FA43" s="728"/>
      <c r="FB43" s="722"/>
      <c r="FC43" s="722"/>
      <c r="FD43" s="722"/>
      <c r="FE43" s="722"/>
      <c r="FF43" s="722"/>
      <c r="FG43" s="722"/>
      <c r="FH43" s="247"/>
      <c r="FI43" s="722"/>
      <c r="FJ43" s="250"/>
      <c r="FL43" s="722"/>
      <c r="FM43" s="722"/>
      <c r="FN43" s="247"/>
      <c r="FO43" s="247"/>
      <c r="FP43" s="247"/>
      <c r="FQ43" s="722"/>
    </row>
    <row r="44" spans="2:173" x14ac:dyDescent="0.25">
      <c r="B44" s="728"/>
      <c r="C44" s="722"/>
      <c r="D44" s="722"/>
      <c r="E44" s="375"/>
      <c r="F44" s="375"/>
      <c r="G44" s="722"/>
      <c r="H44" s="722"/>
      <c r="I44" s="722"/>
      <c r="J44" s="722"/>
      <c r="K44" s="722"/>
      <c r="L44" s="722"/>
      <c r="M44" s="722"/>
      <c r="N44" s="722"/>
      <c r="O44" s="722"/>
      <c r="P44" s="722"/>
      <c r="Q44" s="722"/>
      <c r="R44" s="741"/>
      <c r="S44" s="722"/>
      <c r="T44" s="722"/>
      <c r="U44" s="722"/>
      <c r="V44" s="722"/>
      <c r="X44" s="728"/>
      <c r="Y44" s="722"/>
      <c r="Z44" s="722"/>
      <c r="AA44" s="729"/>
      <c r="AB44" s="729"/>
      <c r="AC44" s="418"/>
      <c r="AD44" s="418"/>
      <c r="AE44" s="418"/>
      <c r="AF44" s="418"/>
      <c r="AG44" s="418"/>
      <c r="AH44" s="247"/>
      <c r="AJ44" s="728"/>
      <c r="AK44" s="722"/>
      <c r="AL44" s="722"/>
      <c r="AM44" s="722"/>
      <c r="AN44" s="247"/>
      <c r="AO44" s="722"/>
      <c r="AP44" s="728"/>
      <c r="AQ44" s="722"/>
      <c r="AR44" s="722"/>
      <c r="AS44" s="722"/>
      <c r="AT44" s="722"/>
      <c r="AU44" s="729"/>
      <c r="AV44" s="722"/>
      <c r="AW44" s="722"/>
      <c r="AX44" s="247"/>
      <c r="AZ44" s="728"/>
      <c r="BA44" s="722"/>
      <c r="BB44" s="722"/>
      <c r="BC44" s="722"/>
      <c r="BD44" s="722"/>
      <c r="BE44" s="247"/>
      <c r="BF44" s="247"/>
      <c r="BG44" s="728"/>
      <c r="BH44" s="722"/>
      <c r="BI44" s="722"/>
      <c r="BJ44" s="722"/>
      <c r="BK44" s="722"/>
      <c r="BL44" s="722"/>
      <c r="BM44" s="729"/>
      <c r="BN44" s="722"/>
      <c r="BO44" s="247"/>
      <c r="BP44" s="722"/>
      <c r="CP44" s="247"/>
      <c r="CQ44" s="249"/>
      <c r="CR44" s="247"/>
      <c r="CS44" s="247"/>
      <c r="CT44" s="247"/>
      <c r="CU44" s="417"/>
      <c r="CV44" s="417"/>
      <c r="CW44" s="417"/>
      <c r="CX44" s="417"/>
      <c r="CY44" s="417"/>
      <c r="CZ44" s="417"/>
      <c r="DA44" s="417"/>
      <c r="DB44" s="417"/>
      <c r="DC44" s="417"/>
      <c r="DD44" s="417"/>
      <c r="DE44" s="417"/>
      <c r="DF44" s="417"/>
      <c r="DG44" s="417"/>
      <c r="DH44" s="417"/>
      <c r="DI44" s="417"/>
      <c r="DJ44" s="417"/>
      <c r="DK44" s="247"/>
      <c r="EH44" s="728"/>
      <c r="EI44" s="722"/>
      <c r="EJ44" s="722"/>
      <c r="EK44" s="722"/>
      <c r="EL44" s="722"/>
      <c r="EM44" s="722"/>
      <c r="EN44" s="722"/>
      <c r="EO44" s="722"/>
      <c r="EP44" s="722"/>
      <c r="EQ44" s="722"/>
      <c r="ER44" s="722"/>
      <c r="ES44" s="722"/>
      <c r="ET44" s="722"/>
      <c r="EU44" s="722"/>
      <c r="EV44" s="722"/>
      <c r="EW44" s="722"/>
      <c r="EX44" s="268"/>
      <c r="FA44" s="728"/>
      <c r="FB44" s="722"/>
      <c r="FC44" s="722"/>
      <c r="FD44" s="722"/>
      <c r="FE44" s="722"/>
      <c r="FF44" s="722"/>
      <c r="FG44" s="722"/>
      <c r="FH44" s="247"/>
      <c r="FI44" s="722"/>
      <c r="FJ44" s="250"/>
      <c r="FL44" s="722"/>
      <c r="FM44" s="722"/>
      <c r="FN44" s="247"/>
      <c r="FO44" s="247"/>
      <c r="FP44" s="247"/>
      <c r="FQ44" s="722"/>
    </row>
    <row r="45" spans="2:173" x14ac:dyDescent="0.25">
      <c r="B45" s="728"/>
      <c r="C45" s="722"/>
      <c r="D45" s="722"/>
      <c r="E45" s="375"/>
      <c r="F45" s="375"/>
      <c r="G45" s="722"/>
      <c r="H45" s="722"/>
      <c r="I45" s="722"/>
      <c r="J45" s="722"/>
      <c r="K45" s="722"/>
      <c r="L45" s="722"/>
      <c r="M45" s="722"/>
      <c r="N45" s="722"/>
      <c r="O45" s="722"/>
      <c r="P45" s="722"/>
      <c r="Q45" s="722"/>
      <c r="R45" s="741"/>
      <c r="S45" s="722"/>
      <c r="T45" s="722"/>
      <c r="U45" s="722"/>
      <c r="V45" s="722"/>
      <c r="X45" s="728"/>
      <c r="Y45" s="722"/>
      <c r="Z45" s="722"/>
      <c r="AA45" s="729"/>
      <c r="AB45" s="729"/>
      <c r="AC45" s="418"/>
      <c r="AD45" s="418"/>
      <c r="AE45" s="418"/>
      <c r="AF45" s="418"/>
      <c r="AG45" s="418"/>
      <c r="AH45" s="247"/>
      <c r="AJ45" s="728"/>
      <c r="AK45" s="722"/>
      <c r="AL45" s="722"/>
      <c r="AM45" s="722"/>
      <c r="AN45" s="247"/>
      <c r="AO45" s="722"/>
      <c r="AP45" s="728"/>
      <c r="AQ45" s="722"/>
      <c r="AR45" s="722"/>
      <c r="AS45" s="722"/>
      <c r="AT45" s="722"/>
      <c r="AU45" s="729"/>
      <c r="AV45" s="722"/>
      <c r="AW45" s="722"/>
      <c r="AX45" s="247"/>
      <c r="AZ45" s="728"/>
      <c r="BA45" s="722"/>
      <c r="BB45" s="722"/>
      <c r="BC45" s="722"/>
      <c r="BD45" s="722"/>
      <c r="BE45" s="247"/>
      <c r="BF45" s="247"/>
      <c r="BG45" s="728"/>
      <c r="BH45" s="722"/>
      <c r="BI45" s="722"/>
      <c r="BJ45" s="722"/>
      <c r="BK45" s="722"/>
      <c r="BL45" s="722"/>
      <c r="BM45" s="729"/>
      <c r="BN45" s="722"/>
      <c r="BO45" s="247"/>
      <c r="BP45" s="722"/>
      <c r="CP45" s="247"/>
      <c r="CQ45" s="249"/>
      <c r="CR45" s="247"/>
      <c r="CS45" s="247"/>
      <c r="CT45" s="247"/>
      <c r="CU45" s="417"/>
      <c r="CV45" s="417"/>
      <c r="CW45" s="417"/>
      <c r="CX45" s="417"/>
      <c r="CY45" s="417"/>
      <c r="CZ45" s="417"/>
      <c r="DA45" s="417"/>
      <c r="DB45" s="417"/>
      <c r="DC45" s="417"/>
      <c r="DD45" s="417"/>
      <c r="DE45" s="417"/>
      <c r="DF45" s="417"/>
      <c r="DG45" s="417"/>
      <c r="DH45" s="417"/>
      <c r="DI45" s="417"/>
      <c r="DJ45" s="417"/>
      <c r="DK45" s="247"/>
      <c r="EH45" s="728"/>
      <c r="EI45" s="722"/>
      <c r="EJ45" s="722"/>
      <c r="EK45" s="722"/>
      <c r="EL45" s="722"/>
      <c r="EM45" s="722"/>
      <c r="EN45" s="722"/>
      <c r="EO45" s="722"/>
      <c r="EP45" s="722"/>
      <c r="EQ45" s="722"/>
      <c r="ER45" s="722"/>
      <c r="ES45" s="722"/>
      <c r="ET45" s="722"/>
      <c r="EU45" s="722"/>
      <c r="EV45" s="722"/>
      <c r="EW45" s="722"/>
      <c r="EX45" s="268"/>
      <c r="FA45" s="728"/>
      <c r="FB45" s="722"/>
      <c r="FC45" s="722"/>
      <c r="FD45" s="722"/>
      <c r="FE45" s="722"/>
      <c r="FF45" s="722"/>
      <c r="FG45" s="722"/>
      <c r="FH45" s="247"/>
      <c r="FI45" s="722"/>
      <c r="FJ45" s="250"/>
      <c r="FL45" s="722"/>
      <c r="FM45" s="722"/>
      <c r="FN45" s="247"/>
      <c r="FO45" s="247"/>
      <c r="FP45" s="247"/>
      <c r="FQ45" s="722"/>
    </row>
    <row r="46" spans="2:173" ht="15" customHeight="1" x14ac:dyDescent="0.25">
      <c r="B46" s="728"/>
      <c r="C46" s="722"/>
      <c r="D46" s="722"/>
      <c r="E46" s="375"/>
      <c r="F46" s="375"/>
      <c r="G46" s="722"/>
      <c r="H46" s="722"/>
      <c r="I46" s="722"/>
      <c r="J46" s="722"/>
      <c r="K46" s="722"/>
      <c r="L46" s="722"/>
      <c r="M46" s="722"/>
      <c r="N46" s="722"/>
      <c r="O46" s="722"/>
      <c r="P46" s="722"/>
      <c r="Q46" s="722"/>
      <c r="R46" s="741"/>
      <c r="S46" s="722"/>
      <c r="T46" s="722"/>
      <c r="U46" s="722"/>
      <c r="V46" s="722"/>
      <c r="X46" s="728"/>
      <c r="Y46" s="722"/>
      <c r="Z46" s="722"/>
      <c r="AA46" s="729"/>
      <c r="AB46" s="729"/>
      <c r="AC46" s="418"/>
      <c r="AD46" s="418"/>
      <c r="AE46" s="418"/>
      <c r="AF46" s="418"/>
      <c r="AG46" s="418"/>
      <c r="AH46" s="247"/>
      <c r="AJ46" s="728"/>
      <c r="AK46" s="722"/>
      <c r="AL46" s="722"/>
      <c r="AM46" s="722"/>
      <c r="AN46" s="247"/>
      <c r="AO46" s="722"/>
      <c r="AP46" s="728"/>
      <c r="AQ46" s="722"/>
      <c r="AR46" s="722"/>
      <c r="AS46" s="722"/>
      <c r="AT46" s="722"/>
      <c r="AU46" s="729"/>
      <c r="AV46" s="722"/>
      <c r="AW46" s="722"/>
      <c r="AX46" s="247"/>
      <c r="AZ46" s="728"/>
      <c r="BA46" s="722"/>
      <c r="BB46" s="722"/>
      <c r="BC46" s="722"/>
      <c r="BD46" s="722"/>
      <c r="BE46" s="247"/>
      <c r="BF46" s="247"/>
      <c r="BG46" s="728"/>
      <c r="BH46" s="722"/>
      <c r="BI46" s="722"/>
      <c r="BJ46" s="722"/>
      <c r="BK46" s="722"/>
      <c r="BL46" s="722"/>
      <c r="BM46" s="729"/>
      <c r="BN46" s="722"/>
      <c r="BO46" s="247"/>
      <c r="BP46" s="722"/>
      <c r="CP46" s="247"/>
      <c r="CQ46" s="249"/>
      <c r="CR46" s="247"/>
      <c r="CS46" s="247"/>
      <c r="CT46" s="247"/>
      <c r="CU46" s="417"/>
      <c r="CV46" s="417"/>
      <c r="CW46" s="417"/>
      <c r="CX46" s="417"/>
      <c r="CY46" s="417"/>
      <c r="CZ46" s="417"/>
      <c r="DA46" s="417"/>
      <c r="DB46" s="417"/>
      <c r="DC46" s="417"/>
      <c r="DD46" s="417"/>
      <c r="DE46" s="417"/>
      <c r="DF46" s="417"/>
      <c r="DG46" s="417"/>
      <c r="DH46" s="417"/>
      <c r="DI46" s="417"/>
      <c r="DJ46" s="417"/>
      <c r="DK46" s="247"/>
      <c r="EH46" s="728"/>
      <c r="EI46" s="722"/>
      <c r="EJ46" s="722"/>
      <c r="EK46" s="722"/>
      <c r="EL46" s="722"/>
      <c r="EM46" s="722"/>
      <c r="EN46" s="722"/>
      <c r="EO46" s="722"/>
      <c r="EP46" s="722"/>
      <c r="EQ46" s="722"/>
      <c r="ER46" s="722"/>
      <c r="ES46" s="722"/>
      <c r="ET46" s="722"/>
      <c r="EU46" s="722"/>
      <c r="EV46" s="722"/>
      <c r="EW46" s="722"/>
      <c r="EX46" s="268"/>
      <c r="FA46" s="728"/>
      <c r="FB46" s="722"/>
      <c r="FC46" s="722"/>
      <c r="FD46" s="722"/>
      <c r="FE46" s="722"/>
      <c r="FF46" s="722"/>
      <c r="FG46" s="722"/>
      <c r="FH46" s="247"/>
      <c r="FI46" s="722"/>
      <c r="FJ46" s="250"/>
      <c r="FL46" s="722"/>
      <c r="FM46" s="722"/>
      <c r="FN46" s="247"/>
      <c r="FO46" s="247"/>
      <c r="FP46" s="247"/>
      <c r="FQ46" s="722"/>
    </row>
  </sheetData>
  <sheetProtection formatCells="0"/>
  <mergeCells count="108">
    <mergeCell ref="EB1:EE1"/>
    <mergeCell ref="EH1:EW1"/>
    <mergeCell ref="FA1:FJ1"/>
    <mergeCell ref="B2:V2"/>
    <mergeCell ref="X2:AG2"/>
    <mergeCell ref="AJ2:AW2"/>
    <mergeCell ref="AZ2:BP2"/>
    <mergeCell ref="BS2:CF2"/>
    <mergeCell ref="CI2:CP2"/>
    <mergeCell ref="CS2:DJ2"/>
    <mergeCell ref="B1:V1"/>
    <mergeCell ref="X1:AG1"/>
    <mergeCell ref="AJ1:AW1"/>
    <mergeCell ref="AZ1:BP1"/>
    <mergeCell ref="BS1:CF1"/>
    <mergeCell ref="DM1:DY1"/>
    <mergeCell ref="DM2:DY2"/>
    <mergeCell ref="EB2:EE2"/>
    <mergeCell ref="EH2:EW2"/>
    <mergeCell ref="FA2:FJ2"/>
    <mergeCell ref="FL2:FQ2"/>
    <mergeCell ref="B4:V4"/>
    <mergeCell ref="X4:AG4"/>
    <mergeCell ref="AJ4:AW4"/>
    <mergeCell ref="EB4:EE4"/>
    <mergeCell ref="EH4:EW4"/>
    <mergeCell ref="K29:K46"/>
    <mergeCell ref="L29:L46"/>
    <mergeCell ref="M29:M46"/>
    <mergeCell ref="N29:N46"/>
    <mergeCell ref="O29:O46"/>
    <mergeCell ref="P29:P46"/>
    <mergeCell ref="FA4:FJ4"/>
    <mergeCell ref="FL4:FQ4"/>
    <mergeCell ref="B12:V12"/>
    <mergeCell ref="B29:B46"/>
    <mergeCell ref="C29:C46"/>
    <mergeCell ref="D29:D46"/>
    <mergeCell ref="G29:G46"/>
    <mergeCell ref="H29:H46"/>
    <mergeCell ref="I29:I46"/>
    <mergeCell ref="J29:J46"/>
    <mergeCell ref="X29:X46"/>
    <mergeCell ref="Y29:Y46"/>
    <mergeCell ref="Z29:Z46"/>
    <mergeCell ref="AA29:AA46"/>
    <mergeCell ref="AB29:AB46"/>
    <mergeCell ref="Q29:Q46"/>
    <mergeCell ref="R29:R46"/>
    <mergeCell ref="S29:S46"/>
    <mergeCell ref="T29:T46"/>
    <mergeCell ref="U29:U46"/>
    <mergeCell ref="V29:V46"/>
    <mergeCell ref="AL29:AL46"/>
    <mergeCell ref="AM29:AM46"/>
    <mergeCell ref="AO29:AO46"/>
    <mergeCell ref="AP29:AP46"/>
    <mergeCell ref="AQ29:AQ46"/>
    <mergeCell ref="AR29:AR46"/>
    <mergeCell ref="AJ29:AJ46"/>
    <mergeCell ref="AK29:AK46"/>
    <mergeCell ref="BA29:BA46"/>
    <mergeCell ref="BB29:BB46"/>
    <mergeCell ref="BC29:BC46"/>
    <mergeCell ref="BD29:BD46"/>
    <mergeCell ref="BG29:BG46"/>
    <mergeCell ref="BH29:BH46"/>
    <mergeCell ref="AS29:AS46"/>
    <mergeCell ref="AT29:AT46"/>
    <mergeCell ref="AU29:AU46"/>
    <mergeCell ref="AV29:AV46"/>
    <mergeCell ref="AW29:AW46"/>
    <mergeCell ref="AZ29:AZ46"/>
    <mergeCell ref="BP29:BP46"/>
    <mergeCell ref="CT29:CT39"/>
    <mergeCell ref="EH29:EH46"/>
    <mergeCell ref="EI29:EI46"/>
    <mergeCell ref="EJ29:EJ46"/>
    <mergeCell ref="EK29:EK46"/>
    <mergeCell ref="BI29:BI46"/>
    <mergeCell ref="BJ29:BJ46"/>
    <mergeCell ref="BK29:BK46"/>
    <mergeCell ref="BL29:BL46"/>
    <mergeCell ref="BM29:BM46"/>
    <mergeCell ref="BN29:BN46"/>
    <mergeCell ref="ER29:ER46"/>
    <mergeCell ref="ES29:ES46"/>
    <mergeCell ref="ET29:ET46"/>
    <mergeCell ref="EU29:EU46"/>
    <mergeCell ref="EV29:EV46"/>
    <mergeCell ref="EW29:EW46"/>
    <mergeCell ref="EL29:EL46"/>
    <mergeCell ref="EM29:EM46"/>
    <mergeCell ref="EN29:EN46"/>
    <mergeCell ref="EO29:EO46"/>
    <mergeCell ref="EP29:EP46"/>
    <mergeCell ref="EQ29:EQ46"/>
    <mergeCell ref="FG29:FG46"/>
    <mergeCell ref="FI29:FI46"/>
    <mergeCell ref="FL29:FL46"/>
    <mergeCell ref="FM29:FM46"/>
    <mergeCell ref="FQ29:FQ46"/>
    <mergeCell ref="FA29:FA46"/>
    <mergeCell ref="FB29:FB46"/>
    <mergeCell ref="FC29:FC46"/>
    <mergeCell ref="FD29:FD46"/>
    <mergeCell ref="FE29:FE46"/>
    <mergeCell ref="FF29:FF46"/>
  </mergeCells>
  <pageMargins left="0.81" right="0.53" top="0.45" bottom="0.43" header="0.27" footer="0.28000000000000003"/>
  <pageSetup paperSize="9" scale="47" orientation="landscape" r:id="rId1"/>
  <colBreaks count="9" manualBreakCount="9">
    <brk id="22" max="43" man="1"/>
    <brk id="34" max="43" man="1"/>
    <brk id="50" max="43" man="1"/>
    <brk id="69" max="43" man="1"/>
    <brk id="85" max="43" man="1"/>
    <brk id="95" max="43" man="1"/>
    <brk id="115" max="43" man="1"/>
    <brk id="136" max="43" man="1"/>
    <brk id="156" max="43" man="1"/>
  </colBreaks>
  <ignoredErrors>
    <ignoredError sqref="H23:H25 AM23 H26:H27 AM26 BN26 AM1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view="pageBreakPreview" zoomScaleNormal="70" zoomScaleSheetLayoutView="100" workbookViewId="0">
      <pane xSplit="2" ySplit="1" topLeftCell="V2" activePane="bottomRight" state="frozen"/>
      <selection pane="topRight" activeCell="C1" sqref="C1"/>
      <selection pane="bottomLeft" activeCell="A2" sqref="A2"/>
      <selection pane="bottomRight" activeCell="AI4" sqref="AI4"/>
    </sheetView>
  </sheetViews>
  <sheetFormatPr baseColWidth="10" defaultColWidth="11.5703125" defaultRowHeight="12.75" x14ac:dyDescent="0.2"/>
  <cols>
    <col min="1" max="1" width="20.28515625" style="292" customWidth="1"/>
    <col min="2" max="2" width="17.7109375" style="292" customWidth="1"/>
    <col min="3" max="3" width="11.28515625" style="292" customWidth="1"/>
    <col min="4" max="4" width="10.28515625" style="292" customWidth="1"/>
    <col min="5" max="7" width="10.140625" style="292" customWidth="1"/>
    <col min="8" max="8" width="11.42578125" style="292" customWidth="1"/>
    <col min="9" max="9" width="11.28515625" style="367" customWidth="1"/>
    <col min="10" max="10" width="14" style="292" customWidth="1"/>
    <col min="11" max="11" width="14.7109375" style="292" customWidth="1"/>
    <col min="12" max="12" width="13.5703125" style="292" customWidth="1"/>
    <col min="13" max="13" width="11.28515625" style="367" customWidth="1"/>
    <col min="14" max="16" width="12.85546875" style="292" customWidth="1"/>
    <col min="17" max="17" width="11.28515625" style="367" customWidth="1"/>
    <col min="18" max="18" width="12.85546875" style="292" bestFit="1" customWidth="1"/>
    <col min="19" max="21" width="12.85546875" style="292" customWidth="1"/>
    <col min="22" max="22" width="11.28515625" style="367" customWidth="1"/>
    <col min="23" max="27" width="16.28515625" style="292" customWidth="1"/>
    <col min="28" max="28" width="11.28515625" style="292" customWidth="1"/>
    <col min="29" max="29" width="11.28515625" style="367" customWidth="1"/>
    <col min="30" max="31" width="11.28515625" style="292" customWidth="1"/>
    <col min="32" max="32" width="12" style="292" customWidth="1"/>
    <col min="33" max="33" width="11.5703125" style="367" customWidth="1"/>
    <col min="34" max="16384" width="11.5703125" style="292"/>
  </cols>
  <sheetData>
    <row r="1" spans="1:35" s="319" customFormat="1" ht="20.25" x14ac:dyDescent="0.3">
      <c r="B1" s="320"/>
      <c r="C1" s="746" t="s">
        <v>322</v>
      </c>
      <c r="D1" s="747"/>
      <c r="E1" s="747"/>
      <c r="F1" s="427"/>
      <c r="G1" s="427"/>
      <c r="H1" s="427"/>
      <c r="I1" s="361"/>
      <c r="J1" s="746" t="s">
        <v>316</v>
      </c>
      <c r="K1" s="747"/>
      <c r="L1" s="426"/>
      <c r="M1" s="361"/>
      <c r="N1" s="425" t="s">
        <v>311</v>
      </c>
      <c r="O1" s="427"/>
      <c r="P1" s="427"/>
      <c r="Q1" s="361"/>
      <c r="R1" s="746" t="s">
        <v>327</v>
      </c>
      <c r="S1" s="747"/>
      <c r="T1" s="747"/>
      <c r="U1" s="747"/>
      <c r="V1" s="361"/>
      <c r="W1" s="746" t="s">
        <v>299</v>
      </c>
      <c r="X1" s="747"/>
      <c r="Y1" s="747"/>
      <c r="Z1" s="747"/>
      <c r="AA1" s="747"/>
      <c r="AB1" s="747"/>
      <c r="AC1" s="361"/>
      <c r="AD1" s="743" t="s">
        <v>296</v>
      </c>
      <c r="AE1" s="744"/>
      <c r="AF1" s="745"/>
      <c r="AG1" s="367"/>
    </row>
    <row r="2" spans="1:35" s="321" customFormat="1" x14ac:dyDescent="0.2">
      <c r="B2" s="322"/>
      <c r="C2" s="323" t="s">
        <v>326</v>
      </c>
      <c r="D2" s="323" t="s">
        <v>325</v>
      </c>
      <c r="E2" s="323" t="s">
        <v>324</v>
      </c>
      <c r="F2" s="323" t="s">
        <v>323</v>
      </c>
      <c r="G2" s="323" t="s">
        <v>448</v>
      </c>
      <c r="H2" s="323" t="s">
        <v>442</v>
      </c>
      <c r="I2" s="362" t="s">
        <v>322</v>
      </c>
      <c r="J2" s="322" t="s">
        <v>321</v>
      </c>
      <c r="K2" s="322" t="s">
        <v>320</v>
      </c>
      <c r="L2" s="322" t="s">
        <v>319</v>
      </c>
      <c r="M2" s="368" t="s">
        <v>316</v>
      </c>
      <c r="N2" s="322" t="s">
        <v>315</v>
      </c>
      <c r="O2" s="322" t="s">
        <v>314</v>
      </c>
      <c r="P2" s="322" t="s">
        <v>313</v>
      </c>
      <c r="Q2" s="368" t="s">
        <v>311</v>
      </c>
      <c r="R2" s="322" t="s">
        <v>310</v>
      </c>
      <c r="S2" s="322" t="s">
        <v>309</v>
      </c>
      <c r="T2" s="322" t="s">
        <v>308</v>
      </c>
      <c r="U2" s="322" t="s">
        <v>307</v>
      </c>
      <c r="V2" s="368" t="s">
        <v>304</v>
      </c>
      <c r="W2" s="322" t="s">
        <v>303</v>
      </c>
      <c r="X2" s="322" t="s">
        <v>302</v>
      </c>
      <c r="Y2" s="322" t="s">
        <v>301</v>
      </c>
      <c r="Z2" s="322" t="s">
        <v>300</v>
      </c>
      <c r="AA2" s="322" t="s">
        <v>765</v>
      </c>
      <c r="AB2" s="322" t="s">
        <v>766</v>
      </c>
      <c r="AC2" s="368" t="s">
        <v>299</v>
      </c>
      <c r="AD2" s="322" t="s">
        <v>298</v>
      </c>
      <c r="AE2" s="322" t="s">
        <v>297</v>
      </c>
      <c r="AF2" s="322" t="s">
        <v>779</v>
      </c>
      <c r="AG2" s="368" t="s">
        <v>296</v>
      </c>
    </row>
    <row r="3" spans="1:35" s="321" customFormat="1" ht="128.25" customHeight="1" x14ac:dyDescent="0.2">
      <c r="B3" s="824"/>
      <c r="C3" s="825" t="s">
        <v>734</v>
      </c>
      <c r="D3" s="825" t="s">
        <v>713</v>
      </c>
      <c r="E3" s="825" t="s">
        <v>737</v>
      </c>
      <c r="F3" s="825" t="s">
        <v>739</v>
      </c>
      <c r="G3" s="825" t="s">
        <v>740</v>
      </c>
      <c r="H3" s="825" t="s">
        <v>742</v>
      </c>
      <c r="I3" s="826" t="s">
        <v>293</v>
      </c>
      <c r="J3" s="825" t="s">
        <v>747</v>
      </c>
      <c r="K3" s="825" t="s">
        <v>749</v>
      </c>
      <c r="L3" s="825" t="s">
        <v>751</v>
      </c>
      <c r="M3" s="827" t="s">
        <v>292</v>
      </c>
      <c r="N3" s="825" t="s">
        <v>757</v>
      </c>
      <c r="O3" s="825" t="s">
        <v>758</v>
      </c>
      <c r="P3" s="825" t="s">
        <v>712</v>
      </c>
      <c r="Q3" s="827" t="s">
        <v>290</v>
      </c>
      <c r="R3" s="825" t="s">
        <v>716</v>
      </c>
      <c r="S3" s="825" t="s">
        <v>717</v>
      </c>
      <c r="T3" s="825" t="s">
        <v>761</v>
      </c>
      <c r="U3" s="825" t="s">
        <v>764</v>
      </c>
      <c r="V3" s="826" t="s">
        <v>288</v>
      </c>
      <c r="W3" s="825" t="s">
        <v>773</v>
      </c>
      <c r="X3" s="825" t="s">
        <v>774</v>
      </c>
      <c r="Y3" s="825" t="s">
        <v>775</v>
      </c>
      <c r="Z3" s="825" t="s">
        <v>776</v>
      </c>
      <c r="AA3" s="825" t="s">
        <v>777</v>
      </c>
      <c r="AB3" s="825" t="s">
        <v>778</v>
      </c>
      <c r="AC3" s="826" t="s">
        <v>287</v>
      </c>
      <c r="AD3" s="825" t="s">
        <v>780</v>
      </c>
      <c r="AE3" s="825" t="s">
        <v>782</v>
      </c>
      <c r="AF3" s="825" t="s">
        <v>785</v>
      </c>
      <c r="AG3" s="828" t="s">
        <v>698</v>
      </c>
      <c r="AI3" s="321" t="s">
        <v>166</v>
      </c>
    </row>
    <row r="4" spans="1:35" s="319" customFormat="1" ht="116.65" customHeight="1" x14ac:dyDescent="0.2">
      <c r="B4" s="324" t="s">
        <v>669</v>
      </c>
      <c r="C4" s="829" t="s">
        <v>733</v>
      </c>
      <c r="D4" s="829" t="s">
        <v>735</v>
      </c>
      <c r="E4" s="829" t="s">
        <v>736</v>
      </c>
      <c r="F4" s="829" t="s">
        <v>738</v>
      </c>
      <c r="G4" s="829" t="s">
        <v>741</v>
      </c>
      <c r="H4" s="829" t="s">
        <v>743</v>
      </c>
      <c r="I4" s="830" t="s">
        <v>293</v>
      </c>
      <c r="J4" s="829" t="s">
        <v>748</v>
      </c>
      <c r="K4" s="829" t="s">
        <v>750</v>
      </c>
      <c r="L4" s="829" t="s">
        <v>752</v>
      </c>
      <c r="M4" s="830" t="s">
        <v>292</v>
      </c>
      <c r="N4" s="829" t="s">
        <v>754</v>
      </c>
      <c r="O4" s="829" t="s">
        <v>755</v>
      </c>
      <c r="P4" s="829" t="s">
        <v>756</v>
      </c>
      <c r="Q4" s="830" t="s">
        <v>290</v>
      </c>
      <c r="R4" s="829" t="s">
        <v>759</v>
      </c>
      <c r="S4" s="829" t="s">
        <v>760</v>
      </c>
      <c r="T4" s="829" t="s">
        <v>762</v>
      </c>
      <c r="U4" s="829" t="s">
        <v>763</v>
      </c>
      <c r="V4" s="830" t="s">
        <v>288</v>
      </c>
      <c r="W4" s="829" t="s">
        <v>767</v>
      </c>
      <c r="X4" s="829" t="s">
        <v>768</v>
      </c>
      <c r="Y4" s="829" t="s">
        <v>769</v>
      </c>
      <c r="Z4" s="829" t="s">
        <v>770</v>
      </c>
      <c r="AA4" s="829" t="s">
        <v>771</v>
      </c>
      <c r="AB4" s="829" t="s">
        <v>772</v>
      </c>
      <c r="AC4" s="830" t="s">
        <v>287</v>
      </c>
      <c r="AD4" s="829" t="s">
        <v>781</v>
      </c>
      <c r="AE4" s="829" t="s">
        <v>783</v>
      </c>
      <c r="AF4" s="829" t="s">
        <v>784</v>
      </c>
      <c r="AG4" s="830" t="s">
        <v>698</v>
      </c>
    </row>
    <row r="5" spans="1:35" x14ac:dyDescent="0.2">
      <c r="A5" s="821" t="s">
        <v>286</v>
      </c>
      <c r="B5" s="296" t="s">
        <v>161</v>
      </c>
      <c r="C5" s="299">
        <f t="shared" ref="C5:AG5" si="0">15-C6</f>
        <v>15</v>
      </c>
      <c r="D5" s="299">
        <f t="shared" si="0"/>
        <v>15</v>
      </c>
      <c r="E5" s="299">
        <f t="shared" si="0"/>
        <v>15</v>
      </c>
      <c r="F5" s="299">
        <f t="shared" si="0"/>
        <v>15</v>
      </c>
      <c r="G5" s="299">
        <f t="shared" si="0"/>
        <v>15</v>
      </c>
      <c r="H5" s="299">
        <f t="shared" si="0"/>
        <v>15</v>
      </c>
      <c r="I5" s="363">
        <f t="shared" si="0"/>
        <v>15</v>
      </c>
      <c r="J5" s="299">
        <f t="shared" si="0"/>
        <v>15</v>
      </c>
      <c r="K5" s="299">
        <f t="shared" si="0"/>
        <v>15</v>
      </c>
      <c r="L5" s="299">
        <f t="shared" si="0"/>
        <v>15</v>
      </c>
      <c r="M5" s="363">
        <f t="shared" si="0"/>
        <v>15</v>
      </c>
      <c r="N5" s="299">
        <f t="shared" si="0"/>
        <v>15</v>
      </c>
      <c r="O5" s="299">
        <f t="shared" si="0"/>
        <v>15</v>
      </c>
      <c r="P5" s="299">
        <f t="shared" si="0"/>
        <v>15</v>
      </c>
      <c r="Q5" s="363">
        <f t="shared" si="0"/>
        <v>15</v>
      </c>
      <c r="R5" s="299">
        <f t="shared" si="0"/>
        <v>15</v>
      </c>
      <c r="S5" s="299">
        <f t="shared" si="0"/>
        <v>15</v>
      </c>
      <c r="T5" s="299">
        <f t="shared" si="0"/>
        <v>15</v>
      </c>
      <c r="U5" s="299">
        <f t="shared" si="0"/>
        <v>15</v>
      </c>
      <c r="V5" s="363">
        <f t="shared" si="0"/>
        <v>15</v>
      </c>
      <c r="W5" s="299">
        <f t="shared" si="0"/>
        <v>15</v>
      </c>
      <c r="X5" s="299">
        <f t="shared" si="0"/>
        <v>15</v>
      </c>
      <c r="Y5" s="299">
        <f t="shared" si="0"/>
        <v>15</v>
      </c>
      <c r="Z5" s="299">
        <f t="shared" si="0"/>
        <v>15</v>
      </c>
      <c r="AA5" s="299">
        <f t="shared" si="0"/>
        <v>15</v>
      </c>
      <c r="AB5" s="299">
        <f t="shared" si="0"/>
        <v>15</v>
      </c>
      <c r="AC5" s="363">
        <f t="shared" si="0"/>
        <v>15</v>
      </c>
      <c r="AD5" s="299">
        <f t="shared" si="0"/>
        <v>15</v>
      </c>
      <c r="AE5" s="299">
        <f t="shared" si="0"/>
        <v>15</v>
      </c>
      <c r="AF5" s="299">
        <f t="shared" si="0"/>
        <v>15</v>
      </c>
      <c r="AG5" s="363">
        <f t="shared" si="0"/>
        <v>15</v>
      </c>
    </row>
    <row r="6" spans="1:35" x14ac:dyDescent="0.2">
      <c r="A6" s="822"/>
      <c r="B6" s="298" t="s">
        <v>162</v>
      </c>
      <c r="C6" s="297">
        <f t="shared" ref="C6:J6" si="1">+COUNTBLANK(C12:C26)</f>
        <v>0</v>
      </c>
      <c r="D6" s="297">
        <f t="shared" si="1"/>
        <v>0</v>
      </c>
      <c r="E6" s="297">
        <f t="shared" si="1"/>
        <v>0</v>
      </c>
      <c r="F6" s="297">
        <f t="shared" ref="F6:H6" si="2">+COUNTBLANK(F12:F26)</f>
        <v>0</v>
      </c>
      <c r="G6" s="297">
        <f t="shared" si="2"/>
        <v>0</v>
      </c>
      <c r="H6" s="297">
        <f t="shared" si="2"/>
        <v>0</v>
      </c>
      <c r="I6" s="364">
        <f t="shared" si="1"/>
        <v>0</v>
      </c>
      <c r="J6" s="297">
        <f t="shared" si="1"/>
        <v>0</v>
      </c>
      <c r="K6" s="297">
        <f t="shared" ref="K6:L6" si="3">+COUNTBLANK(K12:K26)</f>
        <v>0</v>
      </c>
      <c r="L6" s="297">
        <f t="shared" si="3"/>
        <v>0</v>
      </c>
      <c r="M6" s="364">
        <f t="shared" ref="M6:AG6" si="4">+COUNTBLANK(M12:M26)</f>
        <v>0</v>
      </c>
      <c r="N6" s="297">
        <f t="shared" si="4"/>
        <v>0</v>
      </c>
      <c r="O6" s="297">
        <f t="shared" ref="O6:P6" si="5">+COUNTBLANK(O12:O26)</f>
        <v>0</v>
      </c>
      <c r="P6" s="297">
        <f t="shared" si="5"/>
        <v>0</v>
      </c>
      <c r="Q6" s="364">
        <f t="shared" si="4"/>
        <v>0</v>
      </c>
      <c r="R6" s="297">
        <f t="shared" si="4"/>
        <v>0</v>
      </c>
      <c r="S6" s="297">
        <f t="shared" ref="S6" si="6">+COUNTBLANK(S12:S26)</f>
        <v>0</v>
      </c>
      <c r="T6" s="297">
        <f t="shared" ref="T6:U6" si="7">+COUNTBLANK(T12:T26)</f>
        <v>0</v>
      </c>
      <c r="U6" s="297">
        <f t="shared" si="7"/>
        <v>0</v>
      </c>
      <c r="V6" s="364">
        <f t="shared" si="4"/>
        <v>0</v>
      </c>
      <c r="W6" s="297">
        <f t="shared" si="4"/>
        <v>0</v>
      </c>
      <c r="X6" s="297">
        <f t="shared" ref="X6:AB6" si="8">+COUNTBLANK(X12:X26)</f>
        <v>0</v>
      </c>
      <c r="Y6" s="297">
        <f t="shared" si="8"/>
        <v>0</v>
      </c>
      <c r="Z6" s="297">
        <f t="shared" ref="Z6:AA6" si="9">+COUNTBLANK(Z12:Z26)</f>
        <v>0</v>
      </c>
      <c r="AA6" s="297">
        <f t="shared" si="9"/>
        <v>0</v>
      </c>
      <c r="AB6" s="297">
        <f t="shared" si="8"/>
        <v>0</v>
      </c>
      <c r="AC6" s="364">
        <f t="shared" si="4"/>
        <v>0</v>
      </c>
      <c r="AD6" s="297">
        <f t="shared" si="4"/>
        <v>0</v>
      </c>
      <c r="AE6" s="297">
        <f t="shared" ref="AE6:AF6" si="10">+COUNTBLANK(AE12:AE26)</f>
        <v>0</v>
      </c>
      <c r="AF6" s="297">
        <f t="shared" si="10"/>
        <v>0</v>
      </c>
      <c r="AG6" s="364">
        <f t="shared" si="4"/>
        <v>0</v>
      </c>
    </row>
    <row r="7" spans="1:35" x14ac:dyDescent="0.2">
      <c r="A7" s="823"/>
      <c r="B7" s="296" t="s">
        <v>163</v>
      </c>
      <c r="C7" s="295">
        <f t="shared" ref="C7:J7" si="11">1-(C6/15)</f>
        <v>1</v>
      </c>
      <c r="D7" s="295">
        <f t="shared" si="11"/>
        <v>1</v>
      </c>
      <c r="E7" s="295">
        <f t="shared" si="11"/>
        <v>1</v>
      </c>
      <c r="F7" s="295">
        <f t="shared" ref="F7:H7" si="12">1-(F6/15)</f>
        <v>1</v>
      </c>
      <c r="G7" s="295">
        <f t="shared" si="12"/>
        <v>1</v>
      </c>
      <c r="H7" s="295">
        <f t="shared" si="12"/>
        <v>1</v>
      </c>
      <c r="I7" s="365">
        <f t="shared" si="11"/>
        <v>1</v>
      </c>
      <c r="J7" s="295">
        <f t="shared" si="11"/>
        <v>1</v>
      </c>
      <c r="K7" s="295">
        <f t="shared" ref="K7:L7" si="13">1-(K6/15)</f>
        <v>1</v>
      </c>
      <c r="L7" s="295">
        <f t="shared" si="13"/>
        <v>1</v>
      </c>
      <c r="M7" s="365">
        <f>1-(M6/15)</f>
        <v>1</v>
      </c>
      <c r="N7" s="365">
        <f>1-(N6/15)</f>
        <v>1</v>
      </c>
      <c r="O7" s="365">
        <f t="shared" ref="O7:P7" si="14">1-(O6/15)</f>
        <v>1</v>
      </c>
      <c r="P7" s="365">
        <f t="shared" si="14"/>
        <v>1</v>
      </c>
      <c r="Q7" s="365">
        <f t="shared" ref="Q7:R7" si="15">1-(Q6/15)</f>
        <v>1</v>
      </c>
      <c r="R7" s="295">
        <f t="shared" si="15"/>
        <v>1</v>
      </c>
      <c r="S7" s="295">
        <f t="shared" ref="S7" si="16">1-(S6/15)</f>
        <v>1</v>
      </c>
      <c r="T7" s="295">
        <f t="shared" ref="T7:U7" si="17">1-(T6/15)</f>
        <v>1</v>
      </c>
      <c r="U7" s="295">
        <f t="shared" si="17"/>
        <v>1</v>
      </c>
      <c r="V7" s="365">
        <f t="shared" ref="V7:AG7" si="18">1-(V6/15)</f>
        <v>1</v>
      </c>
      <c r="W7" s="295">
        <f t="shared" si="18"/>
        <v>1</v>
      </c>
      <c r="X7" s="295">
        <f t="shared" ref="X7:AB7" si="19">1-(X6/15)</f>
        <v>1</v>
      </c>
      <c r="Y7" s="295">
        <f t="shared" si="19"/>
        <v>1</v>
      </c>
      <c r="Z7" s="295">
        <f t="shared" ref="Z7:AA7" si="20">1-(Z6/15)</f>
        <v>1</v>
      </c>
      <c r="AA7" s="295">
        <f t="shared" si="20"/>
        <v>1</v>
      </c>
      <c r="AB7" s="295">
        <f t="shared" si="19"/>
        <v>1</v>
      </c>
      <c r="AC7" s="365">
        <f t="shared" si="18"/>
        <v>1</v>
      </c>
      <c r="AD7" s="294">
        <f t="shared" si="18"/>
        <v>1</v>
      </c>
      <c r="AE7" s="294">
        <f t="shared" ref="AE7:AF7" si="21">1-(AE6/15)</f>
        <v>1</v>
      </c>
      <c r="AF7" s="294">
        <f t="shared" si="21"/>
        <v>1</v>
      </c>
      <c r="AG7" s="369">
        <f t="shared" si="18"/>
        <v>1</v>
      </c>
    </row>
    <row r="8" spans="1:35" ht="25.5" x14ac:dyDescent="0.2">
      <c r="A8" s="819" t="s">
        <v>285</v>
      </c>
      <c r="B8" s="376">
        <v>1</v>
      </c>
      <c r="C8" s="379">
        <f t="shared" ref="C8:H10" si="22">+COUNTIF(C$12:C$26,$B8)/C$5</f>
        <v>0.13333333333333333</v>
      </c>
      <c r="D8" s="379">
        <f t="shared" si="22"/>
        <v>0.13333333333333333</v>
      </c>
      <c r="E8" s="379">
        <f t="shared" si="22"/>
        <v>0.73333333333333328</v>
      </c>
      <c r="F8" s="379">
        <f t="shared" si="22"/>
        <v>0</v>
      </c>
      <c r="G8" s="379">
        <f t="shared" si="22"/>
        <v>1</v>
      </c>
      <c r="H8" s="379">
        <f t="shared" si="22"/>
        <v>0.2</v>
      </c>
      <c r="I8" s="380">
        <f>+COUNTIF(I12:I26,"&lt;= 1,50")/I5</f>
        <v>0.2</v>
      </c>
      <c r="J8" s="379">
        <f t="shared" ref="J8:L10" si="23">+COUNTIF(J$12:J$26,$B8)/J$5</f>
        <v>0.2</v>
      </c>
      <c r="K8" s="379">
        <f t="shared" si="23"/>
        <v>0</v>
      </c>
      <c r="L8" s="379">
        <f t="shared" si="23"/>
        <v>0</v>
      </c>
      <c r="M8" s="380">
        <f>+COUNTIF(M12:M26,"&lt;= 1,50")/M5</f>
        <v>0</v>
      </c>
      <c r="N8" s="379">
        <f>+COUNTIF(N$12:N$26,$B8)/N$5</f>
        <v>0</v>
      </c>
      <c r="O8" s="379">
        <f t="shared" ref="O8:P10" si="24">+COUNTIF(O$12:O$26,$B8)/O$5</f>
        <v>1</v>
      </c>
      <c r="P8" s="379">
        <f t="shared" si="24"/>
        <v>0</v>
      </c>
      <c r="Q8" s="380">
        <f>+COUNTIF(Q12:Q26,"&lt;= 1,50")/Q5</f>
        <v>0</v>
      </c>
      <c r="R8" s="379">
        <f t="shared" ref="R8:U10" si="25">+COUNTIF(R$12:R$26,$B8)/R$5</f>
        <v>0</v>
      </c>
      <c r="S8" s="379">
        <f t="shared" si="25"/>
        <v>0</v>
      </c>
      <c r="T8" s="379">
        <f t="shared" si="25"/>
        <v>0</v>
      </c>
      <c r="U8" s="379">
        <f t="shared" si="25"/>
        <v>0</v>
      </c>
      <c r="V8" s="380">
        <f>+COUNTIF(V12:V26,"&lt;= 1,50")/V5</f>
        <v>0</v>
      </c>
      <c r="W8" s="379">
        <f t="shared" ref="W8:Y10" si="26">+COUNTIF(W$12:W$26,$B8)/W$5</f>
        <v>0</v>
      </c>
      <c r="X8" s="379">
        <f t="shared" si="26"/>
        <v>0</v>
      </c>
      <c r="Y8" s="379">
        <f t="shared" si="26"/>
        <v>0</v>
      </c>
      <c r="Z8" s="379">
        <f t="shared" ref="Z8:AA10" si="27">+COUNTIF(Z$12:Z$26,$B8)/Z$5</f>
        <v>0.6</v>
      </c>
      <c r="AA8" s="379">
        <f t="shared" si="27"/>
        <v>0</v>
      </c>
      <c r="AB8" s="379">
        <f>+COUNTIF(AB$12:AB$26,$B8)/AB$5</f>
        <v>0</v>
      </c>
      <c r="AC8" s="380">
        <f>+COUNTIF(AC12:AC26,"&lt;= 1,50")/AC5</f>
        <v>0</v>
      </c>
      <c r="AD8" s="379">
        <f>+COUNTIF(AD$12:AD$26,$B8)/AD$5</f>
        <v>0.33333333333333331</v>
      </c>
      <c r="AE8" s="379">
        <f t="shared" ref="AE8:AF10" si="28">+COUNTIF(AE$12:AE$26,$B8)/AE$5</f>
        <v>0.33333333333333331</v>
      </c>
      <c r="AF8" s="379">
        <f t="shared" si="28"/>
        <v>0.46666666666666667</v>
      </c>
      <c r="AG8" s="380">
        <f>+COUNTIF(AG12:AG26,"&lt;= 1,50")/AG5</f>
        <v>0.46666666666666667</v>
      </c>
    </row>
    <row r="9" spans="1:35" ht="38.25" x14ac:dyDescent="0.2">
      <c r="A9" s="819" t="s">
        <v>284</v>
      </c>
      <c r="B9" s="377">
        <v>2</v>
      </c>
      <c r="C9" s="381">
        <f t="shared" si="22"/>
        <v>0.66666666666666663</v>
      </c>
      <c r="D9" s="381">
        <f t="shared" si="22"/>
        <v>0.8</v>
      </c>
      <c r="E9" s="381">
        <f t="shared" si="22"/>
        <v>0.26666666666666666</v>
      </c>
      <c r="F9" s="381">
        <f t="shared" si="22"/>
        <v>0.8</v>
      </c>
      <c r="G9" s="381">
        <f t="shared" si="22"/>
        <v>0</v>
      </c>
      <c r="H9" s="381">
        <f t="shared" si="22"/>
        <v>0.8</v>
      </c>
      <c r="I9" s="382">
        <f>+COUNTIFS(I12:I26,"&gt; 1,5",I12:I26,"&lt; 2,25")/I5</f>
        <v>0.73333333333333328</v>
      </c>
      <c r="J9" s="381">
        <f t="shared" si="23"/>
        <v>0.8</v>
      </c>
      <c r="K9" s="381">
        <f t="shared" si="23"/>
        <v>0.73333333333333328</v>
      </c>
      <c r="L9" s="381">
        <f t="shared" si="23"/>
        <v>0.66666666666666663</v>
      </c>
      <c r="M9" s="382">
        <f>+COUNTIFS(M12:M26,"&gt; 1,5",M12:M26,"&lt; 2,25")/M5</f>
        <v>0.53333333333333333</v>
      </c>
      <c r="N9" s="381">
        <f>+COUNTIF(N$12:N$26,$B9)/N$5</f>
        <v>0</v>
      </c>
      <c r="O9" s="381">
        <f t="shared" si="24"/>
        <v>0</v>
      </c>
      <c r="P9" s="381">
        <f t="shared" si="24"/>
        <v>0.13333333333333333</v>
      </c>
      <c r="Q9" s="382">
        <f>+COUNTIFS(Q12:Q26,"&gt; 1,5",Q12:Q26,"&lt; 2,25")/Q5</f>
        <v>0.13333333333333333</v>
      </c>
      <c r="R9" s="381">
        <f t="shared" si="25"/>
        <v>0</v>
      </c>
      <c r="S9" s="381">
        <f t="shared" si="25"/>
        <v>0.46666666666666667</v>
      </c>
      <c r="T9" s="381">
        <f t="shared" si="25"/>
        <v>0.53333333333333333</v>
      </c>
      <c r="U9" s="381">
        <f t="shared" si="25"/>
        <v>0.8</v>
      </c>
      <c r="V9" s="382">
        <f>+COUNTIFS(V12:V26,"&gt; 1,5",V12:V26,"&lt; 2,25")/V5</f>
        <v>0</v>
      </c>
      <c r="W9" s="381">
        <f t="shared" si="26"/>
        <v>0</v>
      </c>
      <c r="X9" s="381">
        <f t="shared" si="26"/>
        <v>0</v>
      </c>
      <c r="Y9" s="381">
        <f t="shared" si="26"/>
        <v>0</v>
      </c>
      <c r="Z9" s="381">
        <f t="shared" si="27"/>
        <v>0.4</v>
      </c>
      <c r="AA9" s="381">
        <f t="shared" si="27"/>
        <v>0</v>
      </c>
      <c r="AB9" s="381">
        <f>+COUNTIF(AB$12:AB$26,$B9)/AB$5</f>
        <v>0</v>
      </c>
      <c r="AC9" s="382">
        <f>+COUNTIFS(AC12:AC26,"&gt; 1,5",AC12:AC26,"&lt; 2,25")/AC5</f>
        <v>0</v>
      </c>
      <c r="AD9" s="381">
        <f>+COUNTIF(AD$12:AD$26,$B9)/AD$5</f>
        <v>0.66666666666666663</v>
      </c>
      <c r="AE9" s="381">
        <f t="shared" si="28"/>
        <v>0.66666666666666663</v>
      </c>
      <c r="AF9" s="381">
        <f t="shared" si="28"/>
        <v>0.53333333333333333</v>
      </c>
      <c r="AG9" s="382">
        <f>+COUNTIFS(AG12:AG26,"&gt; 1,5",AG12:AG26,"&lt; 2,25")/AG5</f>
        <v>0.53333333333333333</v>
      </c>
    </row>
    <row r="10" spans="1:35" ht="25.5" x14ac:dyDescent="0.2">
      <c r="A10" s="819" t="s">
        <v>283</v>
      </c>
      <c r="B10" s="378">
        <v>3</v>
      </c>
      <c r="C10" s="383">
        <f t="shared" si="22"/>
        <v>0.2</v>
      </c>
      <c r="D10" s="383">
        <f t="shared" si="22"/>
        <v>6.6666666666666666E-2</v>
      </c>
      <c r="E10" s="383">
        <f t="shared" si="22"/>
        <v>0</v>
      </c>
      <c r="F10" s="383">
        <f t="shared" si="22"/>
        <v>0.2</v>
      </c>
      <c r="G10" s="383">
        <f t="shared" si="22"/>
        <v>0</v>
      </c>
      <c r="H10" s="383">
        <f t="shared" si="22"/>
        <v>0</v>
      </c>
      <c r="I10" s="384">
        <f>+COUNTIF(I12:I26,"&gt;=2,25")/I5</f>
        <v>6.6666666666666666E-2</v>
      </c>
      <c r="J10" s="383">
        <f t="shared" si="23"/>
        <v>0</v>
      </c>
      <c r="K10" s="383">
        <f t="shared" si="23"/>
        <v>0.26666666666666666</v>
      </c>
      <c r="L10" s="383">
        <f t="shared" si="23"/>
        <v>0.33333333333333331</v>
      </c>
      <c r="M10" s="384">
        <f>+COUNTIF(M12:M26,"&gt;=2,25")/M5</f>
        <v>0.46666666666666667</v>
      </c>
      <c r="N10" s="383">
        <f>+COUNTIF(N$12:N$26,$B10)/N$5</f>
        <v>1</v>
      </c>
      <c r="O10" s="383">
        <f t="shared" si="24"/>
        <v>0</v>
      </c>
      <c r="P10" s="383">
        <f t="shared" si="24"/>
        <v>0.8666666666666667</v>
      </c>
      <c r="Q10" s="384">
        <f>+COUNTIF(Q12:Q26,"&gt;=2,25")/Q5</f>
        <v>0.8666666666666667</v>
      </c>
      <c r="R10" s="383">
        <f t="shared" si="25"/>
        <v>1</v>
      </c>
      <c r="S10" s="383">
        <f t="shared" si="25"/>
        <v>0.53333333333333333</v>
      </c>
      <c r="T10" s="383">
        <f t="shared" si="25"/>
        <v>0.46666666666666667</v>
      </c>
      <c r="U10" s="383">
        <f t="shared" si="25"/>
        <v>0.2</v>
      </c>
      <c r="V10" s="384">
        <f>+COUNTIF(V12:V26,"&gt;=2,25")/V5</f>
        <v>1</v>
      </c>
      <c r="W10" s="383">
        <f t="shared" si="26"/>
        <v>1</v>
      </c>
      <c r="X10" s="383">
        <f t="shared" si="26"/>
        <v>1</v>
      </c>
      <c r="Y10" s="383">
        <f t="shared" si="26"/>
        <v>1</v>
      </c>
      <c r="Z10" s="383">
        <f t="shared" si="27"/>
        <v>0</v>
      </c>
      <c r="AA10" s="383">
        <f t="shared" si="27"/>
        <v>1</v>
      </c>
      <c r="AB10" s="383">
        <f>+COUNTIF(AB$12:AB$26,$B10)/AB$5</f>
        <v>1</v>
      </c>
      <c r="AC10" s="384">
        <f>+COUNTIF(AC12:AC26,"&gt;=2,25")/AC5</f>
        <v>1</v>
      </c>
      <c r="AD10" s="383">
        <f>+COUNTIF(AD$12:AD$26,$B10)/AD$5</f>
        <v>0</v>
      </c>
      <c r="AE10" s="383">
        <f t="shared" si="28"/>
        <v>0</v>
      </c>
      <c r="AF10" s="383">
        <f t="shared" si="28"/>
        <v>0</v>
      </c>
      <c r="AG10" s="384">
        <f>+COUNTIF(AG12:AG26,"&gt;=2,25")/AG5</f>
        <v>0</v>
      </c>
    </row>
    <row r="11" spans="1:35" ht="39" thickBot="1" x14ac:dyDescent="0.25">
      <c r="A11" s="820" t="s">
        <v>282</v>
      </c>
      <c r="B11" s="385" t="s">
        <v>281</v>
      </c>
      <c r="C11" s="386">
        <f t="shared" ref="C11:J11" si="29">+AVERAGE(C12:C26)</f>
        <v>2.0666666666666669</v>
      </c>
      <c r="D11" s="386">
        <f t="shared" si="29"/>
        <v>1.9333333333333333</v>
      </c>
      <c r="E11" s="386">
        <f t="shared" si="29"/>
        <v>1.2666666666666666</v>
      </c>
      <c r="F11" s="386">
        <f t="shared" ref="F11:H11" si="30">+AVERAGE(F12:F26)</f>
        <v>2.2000000000000002</v>
      </c>
      <c r="G11" s="386">
        <f t="shared" si="30"/>
        <v>1</v>
      </c>
      <c r="H11" s="386">
        <f t="shared" si="30"/>
        <v>1.8</v>
      </c>
      <c r="I11" s="386">
        <f t="shared" si="29"/>
        <v>1.711111111111111</v>
      </c>
      <c r="J11" s="386">
        <f t="shared" si="29"/>
        <v>1.8</v>
      </c>
      <c r="K11" s="386">
        <f t="shared" ref="K11:L11" si="31">+AVERAGE(K12:K26)</f>
        <v>2.2666666666666666</v>
      </c>
      <c r="L11" s="386">
        <f t="shared" si="31"/>
        <v>2.3333333333333335</v>
      </c>
      <c r="M11" s="386">
        <f t="shared" ref="M11:AG11" si="32">+AVERAGE(M12:M26)</f>
        <v>2.1333333333333333</v>
      </c>
      <c r="N11" s="386">
        <f t="shared" si="32"/>
        <v>3</v>
      </c>
      <c r="O11" s="386">
        <f t="shared" ref="O11:P11" si="33">+AVERAGE(O12:O26)</f>
        <v>1</v>
      </c>
      <c r="P11" s="386">
        <f t="shared" si="33"/>
        <v>2.8666666666666667</v>
      </c>
      <c r="Q11" s="386">
        <f t="shared" si="32"/>
        <v>2.2888888888888888</v>
      </c>
      <c r="R11" s="386">
        <f t="shared" si="32"/>
        <v>3</v>
      </c>
      <c r="S11" s="386">
        <f t="shared" si="32"/>
        <v>2.5333333333333332</v>
      </c>
      <c r="T11" s="386">
        <f t="shared" ref="T11" si="34">+AVERAGE(T12:T26)</f>
        <v>2.4666666666666668</v>
      </c>
      <c r="U11" s="386">
        <f t="shared" ref="U11" si="35">+AVERAGE(U12:U26)</f>
        <v>2.2000000000000002</v>
      </c>
      <c r="V11" s="386">
        <f t="shared" si="32"/>
        <v>2.5499999999999998</v>
      </c>
      <c r="W11" s="386">
        <f t="shared" si="32"/>
        <v>3</v>
      </c>
      <c r="X11" s="386">
        <f t="shared" ref="X11" si="36">+AVERAGE(X12:X26)</f>
        <v>3</v>
      </c>
      <c r="Y11" s="386">
        <f t="shared" ref="Y11:AA11" si="37">+AVERAGE(Y12:Y26)</f>
        <v>3</v>
      </c>
      <c r="Z11" s="386">
        <f t="shared" si="37"/>
        <v>1.4</v>
      </c>
      <c r="AA11" s="386">
        <f t="shared" si="37"/>
        <v>3</v>
      </c>
      <c r="AB11" s="386">
        <f t="shared" ref="AB11" si="38">+AVERAGE(AB12:AB26)</f>
        <v>3</v>
      </c>
      <c r="AC11" s="386">
        <f t="shared" si="32"/>
        <v>2.7333333333333343</v>
      </c>
      <c r="AD11" s="386">
        <f t="shared" si="32"/>
        <v>1.6666666666666667</v>
      </c>
      <c r="AE11" s="386">
        <f t="shared" si="32"/>
        <v>1.6666666666666667</v>
      </c>
      <c r="AF11" s="386">
        <f t="shared" si="32"/>
        <v>1.5333333333333334</v>
      </c>
      <c r="AG11" s="386">
        <f t="shared" si="32"/>
        <v>1.622222222222222</v>
      </c>
    </row>
    <row r="12" spans="1:35" s="319" customFormat="1" ht="13.5" thickBot="1" x14ac:dyDescent="0.25">
      <c r="A12" s="325">
        <v>1</v>
      </c>
      <c r="B12" s="428" t="s">
        <v>718</v>
      </c>
      <c r="C12" s="293">
        <v>1</v>
      </c>
      <c r="D12" s="293">
        <v>2</v>
      </c>
      <c r="E12" s="293">
        <v>1</v>
      </c>
      <c r="F12" s="293">
        <v>2</v>
      </c>
      <c r="G12" s="293">
        <v>1</v>
      </c>
      <c r="H12" s="293">
        <v>1</v>
      </c>
      <c r="I12" s="366">
        <f>+AVERAGE(C12:H12)</f>
        <v>1.3333333333333333</v>
      </c>
      <c r="J12" s="370">
        <v>1</v>
      </c>
      <c r="K12" s="370">
        <v>2</v>
      </c>
      <c r="L12" s="370">
        <v>3</v>
      </c>
      <c r="M12" s="366">
        <f>+AVERAGE(J12:L12)</f>
        <v>2</v>
      </c>
      <c r="N12" s="293">
        <v>3</v>
      </c>
      <c r="O12" s="293">
        <v>1</v>
      </c>
      <c r="P12" s="293">
        <v>2</v>
      </c>
      <c r="Q12" s="366">
        <f>+AVERAGE(N12:P12)</f>
        <v>2</v>
      </c>
      <c r="R12" s="293">
        <v>3</v>
      </c>
      <c r="S12" s="293">
        <v>2</v>
      </c>
      <c r="T12" s="293">
        <v>2</v>
      </c>
      <c r="U12" s="293">
        <v>2</v>
      </c>
      <c r="V12" s="366">
        <f>+AVERAGE(R12:U12)</f>
        <v>2.25</v>
      </c>
      <c r="W12" s="293">
        <v>3</v>
      </c>
      <c r="X12" s="293">
        <v>3</v>
      </c>
      <c r="Y12" s="293">
        <v>3</v>
      </c>
      <c r="Z12" s="293">
        <v>1</v>
      </c>
      <c r="AA12" s="293">
        <v>3</v>
      </c>
      <c r="AB12" s="293">
        <v>3</v>
      </c>
      <c r="AC12" s="366">
        <f>+AVERAGE(W12:AB12)</f>
        <v>2.6666666666666665</v>
      </c>
      <c r="AD12" s="293">
        <v>2</v>
      </c>
      <c r="AE12" s="370">
        <v>1</v>
      </c>
      <c r="AF12" s="293">
        <v>1</v>
      </c>
      <c r="AG12" s="366">
        <f>+AVERAGE(AD12:AF12)</f>
        <v>1.3333333333333333</v>
      </c>
    </row>
    <row r="13" spans="1:35" s="319" customFormat="1" ht="13.5" thickBot="1" x14ac:dyDescent="0.25">
      <c r="A13" s="325">
        <v>2</v>
      </c>
      <c r="B13" s="429" t="s">
        <v>719</v>
      </c>
      <c r="C13" s="293">
        <v>1</v>
      </c>
      <c r="D13" s="293">
        <v>1</v>
      </c>
      <c r="E13" s="293">
        <v>1</v>
      </c>
      <c r="F13" s="293">
        <v>2</v>
      </c>
      <c r="G13" s="293">
        <v>1</v>
      </c>
      <c r="H13" s="293">
        <v>1</v>
      </c>
      <c r="I13" s="366">
        <f t="shared" ref="I13:I26" si="39">+AVERAGE(C13:H13)</f>
        <v>1.1666666666666667</v>
      </c>
      <c r="J13" s="293">
        <v>1</v>
      </c>
      <c r="K13" s="293">
        <v>2</v>
      </c>
      <c r="L13" s="293">
        <v>2</v>
      </c>
      <c r="M13" s="366">
        <f t="shared" ref="M13:M26" si="40">+AVERAGE(J13:L13)</f>
        <v>1.6666666666666667</v>
      </c>
      <c r="N13" s="293">
        <v>3</v>
      </c>
      <c r="O13" s="293">
        <v>1</v>
      </c>
      <c r="P13" s="293">
        <v>2</v>
      </c>
      <c r="Q13" s="366">
        <f t="shared" ref="Q13:Q26" si="41">+AVERAGE(N13:P13)</f>
        <v>2</v>
      </c>
      <c r="R13" s="293">
        <v>3</v>
      </c>
      <c r="S13" s="293">
        <v>3</v>
      </c>
      <c r="T13" s="293">
        <v>3</v>
      </c>
      <c r="U13" s="293">
        <v>2</v>
      </c>
      <c r="V13" s="366">
        <f t="shared" ref="V13:V25" si="42">+AVERAGE(R13:U13)</f>
        <v>2.75</v>
      </c>
      <c r="W13" s="293">
        <v>3</v>
      </c>
      <c r="X13" s="293">
        <v>3</v>
      </c>
      <c r="Y13" s="293">
        <v>3</v>
      </c>
      <c r="Z13" s="293">
        <v>1</v>
      </c>
      <c r="AA13" s="293">
        <v>3</v>
      </c>
      <c r="AB13" s="293">
        <v>3</v>
      </c>
      <c r="AC13" s="366">
        <f t="shared" ref="AC13:AC26" si="43">+AVERAGE(W13:AB13)</f>
        <v>2.6666666666666665</v>
      </c>
      <c r="AD13" s="293">
        <v>2</v>
      </c>
      <c r="AE13" s="293">
        <v>1</v>
      </c>
      <c r="AF13" s="293">
        <v>1</v>
      </c>
      <c r="AG13" s="366">
        <f t="shared" ref="AG13:AG26" si="44">+AVERAGE(AD13:AF13)</f>
        <v>1.3333333333333333</v>
      </c>
    </row>
    <row r="14" spans="1:35" s="319" customFormat="1" ht="13.5" thickBot="1" x14ac:dyDescent="0.25">
      <c r="A14" s="325">
        <v>3</v>
      </c>
      <c r="B14" s="429" t="s">
        <v>720</v>
      </c>
      <c r="C14" s="293">
        <v>2</v>
      </c>
      <c r="D14" s="293">
        <v>2</v>
      </c>
      <c r="E14" s="293">
        <v>1</v>
      </c>
      <c r="F14" s="293">
        <v>2</v>
      </c>
      <c r="G14" s="293">
        <v>1</v>
      </c>
      <c r="H14" s="293">
        <v>2</v>
      </c>
      <c r="I14" s="366">
        <f t="shared" si="39"/>
        <v>1.6666666666666667</v>
      </c>
      <c r="J14" s="293">
        <v>1</v>
      </c>
      <c r="K14" s="293">
        <v>2</v>
      </c>
      <c r="L14" s="293">
        <v>2</v>
      </c>
      <c r="M14" s="366">
        <f t="shared" si="40"/>
        <v>1.6666666666666667</v>
      </c>
      <c r="N14" s="293">
        <v>3</v>
      </c>
      <c r="O14" s="293">
        <v>1</v>
      </c>
      <c r="P14" s="293">
        <v>3</v>
      </c>
      <c r="Q14" s="366">
        <f t="shared" si="41"/>
        <v>2.3333333333333335</v>
      </c>
      <c r="R14" s="293">
        <v>3</v>
      </c>
      <c r="S14" s="293">
        <v>2</v>
      </c>
      <c r="T14" s="293">
        <v>3</v>
      </c>
      <c r="U14" s="293">
        <v>2</v>
      </c>
      <c r="V14" s="366">
        <f t="shared" si="42"/>
        <v>2.5</v>
      </c>
      <c r="W14" s="293">
        <v>3</v>
      </c>
      <c r="X14" s="293">
        <v>3</v>
      </c>
      <c r="Y14" s="293">
        <v>3</v>
      </c>
      <c r="Z14" s="293">
        <v>1</v>
      </c>
      <c r="AA14" s="293">
        <v>3</v>
      </c>
      <c r="AB14" s="293">
        <v>3</v>
      </c>
      <c r="AC14" s="366">
        <f t="shared" si="43"/>
        <v>2.6666666666666665</v>
      </c>
      <c r="AD14" s="293">
        <v>2</v>
      </c>
      <c r="AE14" s="293">
        <v>2</v>
      </c>
      <c r="AF14" s="293">
        <v>2</v>
      </c>
      <c r="AG14" s="366">
        <f t="shared" si="44"/>
        <v>2</v>
      </c>
    </row>
    <row r="15" spans="1:35" s="319" customFormat="1" ht="13.5" thickBot="1" x14ac:dyDescent="0.25">
      <c r="A15" s="325">
        <v>4</v>
      </c>
      <c r="B15" s="429" t="s">
        <v>721</v>
      </c>
      <c r="C15" s="293">
        <v>3</v>
      </c>
      <c r="D15" s="293">
        <v>2</v>
      </c>
      <c r="E15" s="293">
        <v>2</v>
      </c>
      <c r="F15" s="293">
        <v>2</v>
      </c>
      <c r="G15" s="293">
        <v>1</v>
      </c>
      <c r="H15" s="293">
        <v>2</v>
      </c>
      <c r="I15" s="366">
        <f t="shared" si="39"/>
        <v>2</v>
      </c>
      <c r="J15" s="293">
        <v>2</v>
      </c>
      <c r="K15" s="293">
        <v>2</v>
      </c>
      <c r="L15" s="293">
        <v>2</v>
      </c>
      <c r="M15" s="366">
        <f t="shared" si="40"/>
        <v>2</v>
      </c>
      <c r="N15" s="293">
        <v>3</v>
      </c>
      <c r="O15" s="293">
        <v>1</v>
      </c>
      <c r="P15" s="293">
        <v>3</v>
      </c>
      <c r="Q15" s="366">
        <f t="shared" si="41"/>
        <v>2.3333333333333335</v>
      </c>
      <c r="R15" s="293">
        <v>3</v>
      </c>
      <c r="S15" s="293">
        <v>3</v>
      </c>
      <c r="T15" s="293">
        <v>2</v>
      </c>
      <c r="U15" s="293">
        <v>2</v>
      </c>
      <c r="V15" s="366">
        <f t="shared" si="42"/>
        <v>2.5</v>
      </c>
      <c r="W15" s="293">
        <v>3</v>
      </c>
      <c r="X15" s="293">
        <v>3</v>
      </c>
      <c r="Y15" s="293">
        <v>3</v>
      </c>
      <c r="Z15" s="293">
        <v>2</v>
      </c>
      <c r="AA15" s="293">
        <v>3</v>
      </c>
      <c r="AB15" s="293">
        <v>3</v>
      </c>
      <c r="AC15" s="366">
        <f t="shared" si="43"/>
        <v>2.8333333333333335</v>
      </c>
      <c r="AD15" s="293">
        <v>2</v>
      </c>
      <c r="AE15" s="293">
        <v>2</v>
      </c>
      <c r="AF15" s="293">
        <v>2</v>
      </c>
      <c r="AG15" s="366">
        <f t="shared" si="44"/>
        <v>2</v>
      </c>
    </row>
    <row r="16" spans="1:35" s="319" customFormat="1" ht="13.5" thickBot="1" x14ac:dyDescent="0.25">
      <c r="A16" s="325">
        <v>5</v>
      </c>
      <c r="B16" s="429" t="s">
        <v>722</v>
      </c>
      <c r="C16" s="293">
        <v>3</v>
      </c>
      <c r="D16" s="293">
        <v>2</v>
      </c>
      <c r="E16" s="293">
        <v>2</v>
      </c>
      <c r="F16" s="293">
        <v>2</v>
      </c>
      <c r="G16" s="293">
        <v>1</v>
      </c>
      <c r="H16" s="293">
        <v>2</v>
      </c>
      <c r="I16" s="366">
        <f t="shared" si="39"/>
        <v>2</v>
      </c>
      <c r="J16" s="293">
        <v>2</v>
      </c>
      <c r="K16" s="293">
        <v>2</v>
      </c>
      <c r="L16" s="293">
        <v>2</v>
      </c>
      <c r="M16" s="366">
        <f t="shared" si="40"/>
        <v>2</v>
      </c>
      <c r="N16" s="293">
        <v>3</v>
      </c>
      <c r="O16" s="293">
        <v>1</v>
      </c>
      <c r="P16" s="293">
        <v>3</v>
      </c>
      <c r="Q16" s="366">
        <f t="shared" si="41"/>
        <v>2.3333333333333335</v>
      </c>
      <c r="R16" s="293">
        <v>3</v>
      </c>
      <c r="S16" s="293">
        <v>3</v>
      </c>
      <c r="T16" s="293">
        <v>3</v>
      </c>
      <c r="U16" s="293">
        <v>2</v>
      </c>
      <c r="V16" s="366">
        <f t="shared" si="42"/>
        <v>2.75</v>
      </c>
      <c r="W16" s="293">
        <v>3</v>
      </c>
      <c r="X16" s="293">
        <v>3</v>
      </c>
      <c r="Y16" s="293">
        <v>3</v>
      </c>
      <c r="Z16" s="293">
        <v>2</v>
      </c>
      <c r="AA16" s="293">
        <v>3</v>
      </c>
      <c r="AB16" s="293">
        <v>3</v>
      </c>
      <c r="AC16" s="366">
        <f t="shared" si="43"/>
        <v>2.8333333333333335</v>
      </c>
      <c r="AD16" s="293">
        <v>2</v>
      </c>
      <c r="AE16" s="293">
        <v>2</v>
      </c>
      <c r="AF16" s="293">
        <v>2</v>
      </c>
      <c r="AG16" s="366">
        <f t="shared" si="44"/>
        <v>2</v>
      </c>
    </row>
    <row r="17" spans="1:33" s="319" customFormat="1" ht="13.5" thickBot="1" x14ac:dyDescent="0.25">
      <c r="A17" s="325">
        <v>6</v>
      </c>
      <c r="B17" s="429" t="s">
        <v>723</v>
      </c>
      <c r="C17" s="293">
        <v>2</v>
      </c>
      <c r="D17" s="293">
        <v>2</v>
      </c>
      <c r="E17" s="293">
        <v>1</v>
      </c>
      <c r="F17" s="293">
        <v>2</v>
      </c>
      <c r="G17" s="293">
        <v>1</v>
      </c>
      <c r="H17" s="293">
        <v>2</v>
      </c>
      <c r="I17" s="366">
        <f t="shared" si="39"/>
        <v>1.6666666666666667</v>
      </c>
      <c r="J17" s="293">
        <v>2</v>
      </c>
      <c r="K17" s="293">
        <v>2</v>
      </c>
      <c r="L17" s="293">
        <v>2</v>
      </c>
      <c r="M17" s="366">
        <f t="shared" si="40"/>
        <v>2</v>
      </c>
      <c r="N17" s="293">
        <v>3</v>
      </c>
      <c r="O17" s="293">
        <v>1</v>
      </c>
      <c r="P17" s="293">
        <v>3</v>
      </c>
      <c r="Q17" s="366">
        <f t="shared" si="41"/>
        <v>2.3333333333333335</v>
      </c>
      <c r="R17" s="293">
        <v>3</v>
      </c>
      <c r="S17" s="293">
        <v>3</v>
      </c>
      <c r="T17" s="293">
        <v>3</v>
      </c>
      <c r="U17" s="293">
        <v>3</v>
      </c>
      <c r="V17" s="366">
        <f t="shared" si="42"/>
        <v>3</v>
      </c>
      <c r="W17" s="293">
        <v>3</v>
      </c>
      <c r="X17" s="293">
        <v>3</v>
      </c>
      <c r="Y17" s="293">
        <v>3</v>
      </c>
      <c r="Z17" s="293">
        <v>2</v>
      </c>
      <c r="AA17" s="293">
        <v>3</v>
      </c>
      <c r="AB17" s="293">
        <v>3</v>
      </c>
      <c r="AC17" s="366">
        <f t="shared" si="43"/>
        <v>2.8333333333333335</v>
      </c>
      <c r="AD17" s="293">
        <v>1</v>
      </c>
      <c r="AE17" s="293">
        <v>2</v>
      </c>
      <c r="AF17" s="293">
        <v>2</v>
      </c>
      <c r="AG17" s="366">
        <f t="shared" si="44"/>
        <v>1.6666666666666667</v>
      </c>
    </row>
    <row r="18" spans="1:33" s="319" customFormat="1" ht="13.5" thickBot="1" x14ac:dyDescent="0.25">
      <c r="A18" s="325">
        <v>7</v>
      </c>
      <c r="B18" s="429" t="s">
        <v>724</v>
      </c>
      <c r="C18" s="293">
        <v>2</v>
      </c>
      <c r="D18" s="293">
        <v>2</v>
      </c>
      <c r="E18" s="293">
        <v>1</v>
      </c>
      <c r="F18" s="293">
        <v>2</v>
      </c>
      <c r="G18" s="293">
        <v>1</v>
      </c>
      <c r="H18" s="293">
        <v>2</v>
      </c>
      <c r="I18" s="366">
        <f t="shared" si="39"/>
        <v>1.6666666666666667</v>
      </c>
      <c r="J18" s="293">
        <v>2</v>
      </c>
      <c r="K18" s="293">
        <v>2</v>
      </c>
      <c r="L18" s="293">
        <v>2</v>
      </c>
      <c r="M18" s="366">
        <f t="shared" si="40"/>
        <v>2</v>
      </c>
      <c r="N18" s="293">
        <v>3</v>
      </c>
      <c r="O18" s="293">
        <v>1</v>
      </c>
      <c r="P18" s="293">
        <v>3</v>
      </c>
      <c r="Q18" s="366">
        <f t="shared" si="41"/>
        <v>2.3333333333333335</v>
      </c>
      <c r="R18" s="293">
        <v>3</v>
      </c>
      <c r="S18" s="293">
        <v>3</v>
      </c>
      <c r="T18" s="293">
        <v>3</v>
      </c>
      <c r="U18" s="293">
        <v>3</v>
      </c>
      <c r="V18" s="366">
        <f t="shared" si="42"/>
        <v>3</v>
      </c>
      <c r="W18" s="293">
        <v>3</v>
      </c>
      <c r="X18" s="293">
        <v>3</v>
      </c>
      <c r="Y18" s="293">
        <v>3</v>
      </c>
      <c r="Z18" s="293">
        <v>1</v>
      </c>
      <c r="AA18" s="293">
        <v>3</v>
      </c>
      <c r="AB18" s="293">
        <v>3</v>
      </c>
      <c r="AC18" s="366">
        <f t="shared" si="43"/>
        <v>2.6666666666666665</v>
      </c>
      <c r="AD18" s="293">
        <v>2</v>
      </c>
      <c r="AE18" s="293">
        <v>2</v>
      </c>
      <c r="AF18" s="293">
        <v>2</v>
      </c>
      <c r="AG18" s="366">
        <f t="shared" si="44"/>
        <v>2</v>
      </c>
    </row>
    <row r="19" spans="1:33" s="319" customFormat="1" ht="13.5" thickBot="1" x14ac:dyDescent="0.25">
      <c r="A19" s="325">
        <v>8</v>
      </c>
      <c r="B19" s="429" t="s">
        <v>725</v>
      </c>
      <c r="C19" s="293">
        <v>2</v>
      </c>
      <c r="D19" s="293">
        <v>2</v>
      </c>
      <c r="E19" s="293">
        <v>1</v>
      </c>
      <c r="F19" s="293">
        <v>2</v>
      </c>
      <c r="G19" s="293">
        <v>1</v>
      </c>
      <c r="H19" s="293">
        <v>2</v>
      </c>
      <c r="I19" s="366">
        <f t="shared" si="39"/>
        <v>1.6666666666666667</v>
      </c>
      <c r="J19" s="293">
        <v>2</v>
      </c>
      <c r="K19" s="293">
        <v>2</v>
      </c>
      <c r="L19" s="293">
        <v>3</v>
      </c>
      <c r="M19" s="366">
        <f t="shared" si="40"/>
        <v>2.3333333333333335</v>
      </c>
      <c r="N19" s="293">
        <v>3</v>
      </c>
      <c r="O19" s="293">
        <v>1</v>
      </c>
      <c r="P19" s="293">
        <v>3</v>
      </c>
      <c r="Q19" s="366">
        <f t="shared" si="41"/>
        <v>2.3333333333333335</v>
      </c>
      <c r="R19" s="293">
        <v>3</v>
      </c>
      <c r="S19" s="293">
        <v>2</v>
      </c>
      <c r="T19" s="293">
        <v>2</v>
      </c>
      <c r="U19" s="293">
        <v>3</v>
      </c>
      <c r="V19" s="366">
        <f t="shared" si="42"/>
        <v>2.5</v>
      </c>
      <c r="W19" s="293">
        <v>3</v>
      </c>
      <c r="X19" s="293">
        <v>3</v>
      </c>
      <c r="Y19" s="293">
        <v>3</v>
      </c>
      <c r="Z19" s="293">
        <v>1</v>
      </c>
      <c r="AA19" s="293">
        <v>3</v>
      </c>
      <c r="AB19" s="293">
        <v>3</v>
      </c>
      <c r="AC19" s="366">
        <f t="shared" si="43"/>
        <v>2.6666666666666665</v>
      </c>
      <c r="AD19" s="293">
        <v>1</v>
      </c>
      <c r="AE19" s="293">
        <v>2</v>
      </c>
      <c r="AF19" s="293">
        <v>1</v>
      </c>
      <c r="AG19" s="366">
        <f t="shared" si="44"/>
        <v>1.3333333333333333</v>
      </c>
    </row>
    <row r="20" spans="1:33" s="319" customFormat="1" ht="13.5" thickBot="1" x14ac:dyDescent="0.25">
      <c r="A20" s="325">
        <v>9</v>
      </c>
      <c r="B20" s="429" t="s">
        <v>726</v>
      </c>
      <c r="C20" s="293">
        <v>2</v>
      </c>
      <c r="D20" s="293">
        <v>2</v>
      </c>
      <c r="E20" s="293">
        <v>1</v>
      </c>
      <c r="F20" s="293">
        <v>2</v>
      </c>
      <c r="G20" s="293">
        <v>1</v>
      </c>
      <c r="H20" s="293">
        <v>2</v>
      </c>
      <c r="I20" s="366">
        <f t="shared" si="39"/>
        <v>1.6666666666666667</v>
      </c>
      <c r="J20" s="293">
        <v>2</v>
      </c>
      <c r="K20" s="293">
        <v>3</v>
      </c>
      <c r="L20" s="293">
        <v>2</v>
      </c>
      <c r="M20" s="366">
        <f t="shared" si="40"/>
        <v>2.3333333333333335</v>
      </c>
      <c r="N20" s="293">
        <v>3</v>
      </c>
      <c r="O20" s="293">
        <v>1</v>
      </c>
      <c r="P20" s="293">
        <v>3</v>
      </c>
      <c r="Q20" s="366">
        <f t="shared" si="41"/>
        <v>2.3333333333333335</v>
      </c>
      <c r="R20" s="293">
        <v>3</v>
      </c>
      <c r="S20" s="293">
        <v>2</v>
      </c>
      <c r="T20" s="293">
        <v>2</v>
      </c>
      <c r="U20" s="293">
        <v>2</v>
      </c>
      <c r="V20" s="366">
        <f t="shared" si="42"/>
        <v>2.25</v>
      </c>
      <c r="W20" s="293">
        <v>3</v>
      </c>
      <c r="X20" s="293">
        <v>3</v>
      </c>
      <c r="Y20" s="293">
        <v>3</v>
      </c>
      <c r="Z20" s="293">
        <v>1</v>
      </c>
      <c r="AA20" s="293">
        <v>3</v>
      </c>
      <c r="AB20" s="293">
        <v>3</v>
      </c>
      <c r="AC20" s="366">
        <f t="shared" si="43"/>
        <v>2.6666666666666665</v>
      </c>
      <c r="AD20" s="293">
        <v>1</v>
      </c>
      <c r="AE20" s="293">
        <v>2</v>
      </c>
      <c r="AF20" s="293">
        <v>2</v>
      </c>
      <c r="AG20" s="366">
        <f t="shared" si="44"/>
        <v>1.6666666666666667</v>
      </c>
    </row>
    <row r="21" spans="1:33" s="319" customFormat="1" ht="13.5" thickBot="1" x14ac:dyDescent="0.25">
      <c r="A21" s="325">
        <v>10</v>
      </c>
      <c r="B21" s="429" t="s">
        <v>744</v>
      </c>
      <c r="C21" s="293">
        <v>2</v>
      </c>
      <c r="D21" s="293">
        <v>1</v>
      </c>
      <c r="E21" s="293">
        <v>1</v>
      </c>
      <c r="F21" s="293">
        <v>2</v>
      </c>
      <c r="G21" s="293">
        <v>1</v>
      </c>
      <c r="H21" s="293">
        <v>1</v>
      </c>
      <c r="I21" s="366">
        <f t="shared" si="39"/>
        <v>1.3333333333333333</v>
      </c>
      <c r="J21" s="293">
        <v>2</v>
      </c>
      <c r="K21" s="293">
        <v>2</v>
      </c>
      <c r="L21" s="293">
        <v>3</v>
      </c>
      <c r="M21" s="366">
        <f t="shared" si="40"/>
        <v>2.3333333333333335</v>
      </c>
      <c r="N21" s="293">
        <v>3</v>
      </c>
      <c r="O21" s="293">
        <v>1</v>
      </c>
      <c r="P21" s="293">
        <v>3</v>
      </c>
      <c r="Q21" s="366">
        <f t="shared" si="41"/>
        <v>2.3333333333333335</v>
      </c>
      <c r="R21" s="293">
        <v>3</v>
      </c>
      <c r="S21" s="293">
        <v>3</v>
      </c>
      <c r="T21" s="293">
        <v>2</v>
      </c>
      <c r="U21" s="293">
        <v>2</v>
      </c>
      <c r="V21" s="366">
        <f t="shared" si="42"/>
        <v>2.5</v>
      </c>
      <c r="W21" s="293">
        <v>3</v>
      </c>
      <c r="X21" s="293">
        <v>3</v>
      </c>
      <c r="Y21" s="293">
        <v>3</v>
      </c>
      <c r="Z21" s="293">
        <v>1</v>
      </c>
      <c r="AA21" s="293">
        <v>3</v>
      </c>
      <c r="AB21" s="293">
        <v>3</v>
      </c>
      <c r="AC21" s="366">
        <f t="shared" si="43"/>
        <v>2.6666666666666665</v>
      </c>
      <c r="AD21" s="293">
        <v>2</v>
      </c>
      <c r="AE21" s="293">
        <v>1</v>
      </c>
      <c r="AF21" s="293">
        <v>1</v>
      </c>
      <c r="AG21" s="366">
        <f t="shared" si="44"/>
        <v>1.3333333333333333</v>
      </c>
    </row>
    <row r="22" spans="1:33" s="319" customFormat="1" ht="13.5" thickBot="1" x14ac:dyDescent="0.25">
      <c r="A22" s="325">
        <v>11</v>
      </c>
      <c r="B22" s="429" t="s">
        <v>727</v>
      </c>
      <c r="C22" s="293">
        <v>3</v>
      </c>
      <c r="D22" s="293">
        <v>3</v>
      </c>
      <c r="E22" s="293">
        <v>2</v>
      </c>
      <c r="F22" s="293">
        <v>3</v>
      </c>
      <c r="G22" s="293">
        <v>1</v>
      </c>
      <c r="H22" s="293">
        <v>2</v>
      </c>
      <c r="I22" s="366">
        <f t="shared" si="39"/>
        <v>2.3333333333333335</v>
      </c>
      <c r="J22" s="293">
        <v>2</v>
      </c>
      <c r="K22" s="293">
        <v>3</v>
      </c>
      <c r="L22" s="293">
        <v>3</v>
      </c>
      <c r="M22" s="366">
        <f t="shared" si="40"/>
        <v>2.6666666666666665</v>
      </c>
      <c r="N22" s="293">
        <v>3</v>
      </c>
      <c r="O22" s="293">
        <v>1</v>
      </c>
      <c r="P22" s="293">
        <v>3</v>
      </c>
      <c r="Q22" s="366">
        <f t="shared" si="41"/>
        <v>2.3333333333333335</v>
      </c>
      <c r="R22" s="293">
        <v>3</v>
      </c>
      <c r="S22" s="293">
        <v>2</v>
      </c>
      <c r="T22" s="293">
        <v>2</v>
      </c>
      <c r="U22" s="293">
        <v>2</v>
      </c>
      <c r="V22" s="366">
        <f t="shared" si="42"/>
        <v>2.25</v>
      </c>
      <c r="W22" s="293">
        <v>3</v>
      </c>
      <c r="X22" s="293">
        <v>3</v>
      </c>
      <c r="Y22" s="293">
        <v>3</v>
      </c>
      <c r="Z22" s="293">
        <v>1</v>
      </c>
      <c r="AA22" s="293">
        <v>3</v>
      </c>
      <c r="AB22" s="293">
        <v>3</v>
      </c>
      <c r="AC22" s="366">
        <f t="shared" si="43"/>
        <v>2.6666666666666665</v>
      </c>
      <c r="AD22" s="293">
        <v>1</v>
      </c>
      <c r="AE22" s="293">
        <v>2</v>
      </c>
      <c r="AF22" s="293">
        <v>2</v>
      </c>
      <c r="AG22" s="366">
        <f t="shared" si="44"/>
        <v>1.6666666666666667</v>
      </c>
    </row>
    <row r="23" spans="1:33" s="319" customFormat="1" ht="13.5" thickBot="1" x14ac:dyDescent="0.25">
      <c r="A23" s="325">
        <v>12</v>
      </c>
      <c r="B23" s="429" t="s">
        <v>746</v>
      </c>
      <c r="C23" s="293">
        <v>2</v>
      </c>
      <c r="D23" s="293">
        <v>2</v>
      </c>
      <c r="E23" s="293">
        <v>1</v>
      </c>
      <c r="F23" s="293">
        <v>2</v>
      </c>
      <c r="G23" s="293">
        <v>1</v>
      </c>
      <c r="H23" s="293">
        <v>2</v>
      </c>
      <c r="I23" s="366">
        <f t="shared" si="39"/>
        <v>1.6666666666666667</v>
      </c>
      <c r="J23" s="293">
        <v>2</v>
      </c>
      <c r="K23" s="293">
        <v>3</v>
      </c>
      <c r="L23" s="293">
        <v>2</v>
      </c>
      <c r="M23" s="366">
        <f t="shared" si="40"/>
        <v>2.3333333333333335</v>
      </c>
      <c r="N23" s="293">
        <v>3</v>
      </c>
      <c r="O23" s="293">
        <v>1</v>
      </c>
      <c r="P23" s="293">
        <v>3</v>
      </c>
      <c r="Q23" s="366">
        <f t="shared" si="41"/>
        <v>2.3333333333333335</v>
      </c>
      <c r="R23" s="293">
        <v>3</v>
      </c>
      <c r="S23" s="293">
        <v>3</v>
      </c>
      <c r="T23" s="293">
        <v>2</v>
      </c>
      <c r="U23" s="293">
        <v>2</v>
      </c>
      <c r="V23" s="366">
        <f t="shared" si="42"/>
        <v>2.5</v>
      </c>
      <c r="W23" s="293">
        <v>3</v>
      </c>
      <c r="X23" s="293">
        <v>3</v>
      </c>
      <c r="Y23" s="293">
        <v>3</v>
      </c>
      <c r="Z23" s="293">
        <v>1</v>
      </c>
      <c r="AA23" s="293">
        <v>3</v>
      </c>
      <c r="AB23" s="293">
        <v>3</v>
      </c>
      <c r="AC23" s="366">
        <f t="shared" si="43"/>
        <v>2.6666666666666665</v>
      </c>
      <c r="AD23" s="293">
        <v>2</v>
      </c>
      <c r="AE23" s="293">
        <v>2</v>
      </c>
      <c r="AF23" s="293">
        <v>2</v>
      </c>
      <c r="AG23" s="366">
        <f t="shared" si="44"/>
        <v>2</v>
      </c>
    </row>
    <row r="24" spans="1:33" s="319" customFormat="1" ht="13.5" thickBot="1" x14ac:dyDescent="0.25">
      <c r="A24" s="325">
        <v>13</v>
      </c>
      <c r="B24" s="429" t="s">
        <v>745</v>
      </c>
      <c r="C24" s="293">
        <v>2</v>
      </c>
      <c r="D24" s="293">
        <v>2</v>
      </c>
      <c r="E24" s="293">
        <v>1</v>
      </c>
      <c r="F24" s="293">
        <v>2</v>
      </c>
      <c r="G24" s="293">
        <v>1</v>
      </c>
      <c r="H24" s="293">
        <v>2</v>
      </c>
      <c r="I24" s="366">
        <f t="shared" si="39"/>
        <v>1.6666666666666667</v>
      </c>
      <c r="J24" s="293">
        <v>2</v>
      </c>
      <c r="K24" s="293">
        <v>3</v>
      </c>
      <c r="L24" s="293">
        <v>2</v>
      </c>
      <c r="M24" s="366">
        <f t="shared" si="40"/>
        <v>2.3333333333333335</v>
      </c>
      <c r="N24" s="293">
        <v>3</v>
      </c>
      <c r="O24" s="293">
        <v>1</v>
      </c>
      <c r="P24" s="293">
        <v>3</v>
      </c>
      <c r="Q24" s="366">
        <f t="shared" si="41"/>
        <v>2.3333333333333335</v>
      </c>
      <c r="R24" s="293">
        <v>3</v>
      </c>
      <c r="S24" s="293">
        <v>2</v>
      </c>
      <c r="T24" s="293">
        <v>2</v>
      </c>
      <c r="U24" s="293">
        <v>2</v>
      </c>
      <c r="V24" s="366">
        <f t="shared" si="42"/>
        <v>2.25</v>
      </c>
      <c r="W24" s="293">
        <v>3</v>
      </c>
      <c r="X24" s="293">
        <v>3</v>
      </c>
      <c r="Y24" s="293">
        <v>3</v>
      </c>
      <c r="Z24" s="293">
        <v>2</v>
      </c>
      <c r="AA24" s="293">
        <v>3</v>
      </c>
      <c r="AB24" s="293">
        <v>3</v>
      </c>
      <c r="AC24" s="366">
        <f t="shared" si="43"/>
        <v>2.8333333333333335</v>
      </c>
      <c r="AD24" s="293">
        <v>1</v>
      </c>
      <c r="AE24" s="293">
        <v>2</v>
      </c>
      <c r="AF24" s="293">
        <v>1</v>
      </c>
      <c r="AG24" s="366">
        <f t="shared" si="44"/>
        <v>1.3333333333333333</v>
      </c>
    </row>
    <row r="25" spans="1:33" s="319" customFormat="1" ht="13.5" thickBot="1" x14ac:dyDescent="0.25">
      <c r="A25" s="325">
        <v>14</v>
      </c>
      <c r="B25" s="429" t="s">
        <v>753</v>
      </c>
      <c r="C25" s="293">
        <v>2</v>
      </c>
      <c r="D25" s="293">
        <v>2</v>
      </c>
      <c r="E25" s="293">
        <v>1</v>
      </c>
      <c r="F25" s="293">
        <v>3</v>
      </c>
      <c r="G25" s="293">
        <v>1</v>
      </c>
      <c r="H25" s="293">
        <v>2</v>
      </c>
      <c r="I25" s="366">
        <f t="shared" si="39"/>
        <v>1.8333333333333333</v>
      </c>
      <c r="J25" s="293">
        <v>2</v>
      </c>
      <c r="K25" s="293">
        <v>2</v>
      </c>
      <c r="L25" s="293">
        <v>2</v>
      </c>
      <c r="M25" s="366">
        <f t="shared" si="40"/>
        <v>2</v>
      </c>
      <c r="N25" s="293">
        <v>3</v>
      </c>
      <c r="O25" s="293">
        <v>1</v>
      </c>
      <c r="P25" s="293">
        <v>3</v>
      </c>
      <c r="Q25" s="366">
        <f t="shared" si="41"/>
        <v>2.3333333333333335</v>
      </c>
      <c r="R25" s="293">
        <v>3</v>
      </c>
      <c r="S25" s="293">
        <v>3</v>
      </c>
      <c r="T25" s="293">
        <v>3</v>
      </c>
      <c r="U25" s="293">
        <v>2</v>
      </c>
      <c r="V25" s="366">
        <f t="shared" si="42"/>
        <v>2.75</v>
      </c>
      <c r="W25" s="293">
        <v>3</v>
      </c>
      <c r="X25" s="293">
        <v>3</v>
      </c>
      <c r="Y25" s="293">
        <v>3</v>
      </c>
      <c r="Z25" s="293">
        <v>2</v>
      </c>
      <c r="AA25" s="293">
        <v>3</v>
      </c>
      <c r="AB25" s="293">
        <v>3</v>
      </c>
      <c r="AC25" s="366">
        <f t="shared" si="43"/>
        <v>2.8333333333333335</v>
      </c>
      <c r="AD25" s="293">
        <v>2</v>
      </c>
      <c r="AE25" s="293">
        <v>1</v>
      </c>
      <c r="AF25" s="293">
        <v>1</v>
      </c>
      <c r="AG25" s="366">
        <f t="shared" si="44"/>
        <v>1.3333333333333333</v>
      </c>
    </row>
    <row r="26" spans="1:33" s="319" customFormat="1" ht="13.5" thickBot="1" x14ac:dyDescent="0.25">
      <c r="A26" s="325">
        <v>15</v>
      </c>
      <c r="B26" s="429" t="s">
        <v>732</v>
      </c>
      <c r="C26" s="293">
        <v>2</v>
      </c>
      <c r="D26" s="293">
        <v>2</v>
      </c>
      <c r="E26" s="293">
        <v>2</v>
      </c>
      <c r="F26" s="293">
        <v>3</v>
      </c>
      <c r="G26" s="293">
        <v>1</v>
      </c>
      <c r="H26" s="293">
        <v>2</v>
      </c>
      <c r="I26" s="366">
        <f t="shared" si="39"/>
        <v>2</v>
      </c>
      <c r="J26" s="293">
        <v>2</v>
      </c>
      <c r="K26" s="293">
        <v>2</v>
      </c>
      <c r="L26" s="293">
        <v>3</v>
      </c>
      <c r="M26" s="366">
        <f t="shared" si="40"/>
        <v>2.3333333333333335</v>
      </c>
      <c r="N26" s="293">
        <v>3</v>
      </c>
      <c r="O26" s="293">
        <v>1</v>
      </c>
      <c r="P26" s="293">
        <v>3</v>
      </c>
      <c r="Q26" s="366">
        <f t="shared" si="41"/>
        <v>2.3333333333333335</v>
      </c>
      <c r="R26" s="293">
        <v>3</v>
      </c>
      <c r="S26" s="293">
        <v>2</v>
      </c>
      <c r="T26" s="293">
        <v>3</v>
      </c>
      <c r="U26" s="293">
        <v>2</v>
      </c>
      <c r="V26" s="366">
        <f>+AVERAGE(R26:U26)</f>
        <v>2.5</v>
      </c>
      <c r="W26" s="293">
        <v>3</v>
      </c>
      <c r="X26" s="293">
        <v>3</v>
      </c>
      <c r="Y26" s="293">
        <v>3</v>
      </c>
      <c r="Z26" s="293">
        <v>2</v>
      </c>
      <c r="AA26" s="293">
        <v>3</v>
      </c>
      <c r="AB26" s="293">
        <v>3</v>
      </c>
      <c r="AC26" s="366">
        <f t="shared" si="43"/>
        <v>2.8333333333333335</v>
      </c>
      <c r="AD26" s="293">
        <v>2</v>
      </c>
      <c r="AE26" s="293">
        <v>1</v>
      </c>
      <c r="AF26" s="293">
        <v>1</v>
      </c>
      <c r="AG26" s="366">
        <f t="shared" si="44"/>
        <v>1.3333333333333333</v>
      </c>
    </row>
  </sheetData>
  <mergeCells count="6">
    <mergeCell ref="A5:A7"/>
    <mergeCell ref="AD1:AF1"/>
    <mergeCell ref="C1:E1"/>
    <mergeCell ref="J1:K1"/>
    <mergeCell ref="R1:U1"/>
    <mergeCell ref="W1:AB1"/>
  </mergeCells>
  <conditionalFormatting sqref="I12:I26 M12:M26 Q12:Q26 V12:V26 AC12:AC26 AG12:AG26">
    <cfRule type="colorScale" priority="6">
      <colorScale>
        <cfvo type="num" val="1.75"/>
        <cfvo type="num" val="2.25"/>
        <cfvo type="num" val="3"/>
        <color rgb="FFF8696B"/>
        <color rgb="FFFFEB84"/>
        <color rgb="FF63BE7B"/>
      </colorScale>
    </cfRule>
  </conditionalFormatting>
  <pageMargins left="0.70866141732283472" right="0.70866141732283472" top="0.74803149606299213" bottom="0.74803149606299213" header="0.31496062992125984" footer="0.31496062992125984"/>
  <pageSetup paperSize="9" scale="77" orientation="portrait" r:id="rId1"/>
  <colBreaks count="3" manualBreakCount="3">
    <brk id="12" max="1048575" man="1"/>
    <brk id="21" max="1048575" man="1"/>
    <brk id="2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772"/>
  <sheetViews>
    <sheetView showGridLines="0" view="pageBreakPreview" topLeftCell="A614" zoomScaleNormal="100" zoomScaleSheetLayoutView="100" workbookViewId="0">
      <selection activeCell="A32" sqref="A32:B32"/>
    </sheetView>
  </sheetViews>
  <sheetFormatPr baseColWidth="10" defaultColWidth="11.5703125" defaultRowHeight="17.100000000000001" customHeight="1" x14ac:dyDescent="0.25"/>
  <cols>
    <col min="1" max="1" width="43.7109375" style="291" customWidth="1"/>
    <col min="2" max="2" width="83.42578125" style="291" customWidth="1"/>
    <col min="3" max="3" width="33.28515625" style="1" bestFit="1" customWidth="1"/>
    <col min="4" max="16384" width="11.5703125" style="1"/>
  </cols>
  <sheetData>
    <row r="1" spans="1:4" ht="17.100000000000001" customHeight="1" x14ac:dyDescent="0.25">
      <c r="A1" s="772" t="s">
        <v>4</v>
      </c>
      <c r="B1" s="772"/>
      <c r="C1" s="763"/>
      <c r="D1" s="763"/>
    </row>
    <row r="2" spans="1:4" ht="18.95" customHeight="1" x14ac:dyDescent="0.25">
      <c r="A2" s="510" t="s">
        <v>787</v>
      </c>
      <c r="B2" s="510" t="s">
        <v>11</v>
      </c>
      <c r="C2" s="764"/>
      <c r="D2" s="764"/>
    </row>
    <row r="3" spans="1:4" ht="17.100000000000001" customHeight="1" x14ac:dyDescent="0.25">
      <c r="A3" s="776" t="s">
        <v>3</v>
      </c>
      <c r="B3" s="776"/>
    </row>
    <row r="4" spans="1:4" ht="17.100000000000001" customHeight="1" x14ac:dyDescent="0.25">
      <c r="A4" s="773" t="s">
        <v>5</v>
      </c>
      <c r="B4" s="774"/>
    </row>
    <row r="5" spans="1:4" ht="17.100000000000001" customHeight="1" x14ac:dyDescent="0.25">
      <c r="A5" s="775" t="s">
        <v>557</v>
      </c>
      <c r="B5" s="775"/>
    </row>
    <row r="6" spans="1:4" ht="17.100000000000001" customHeight="1" x14ac:dyDescent="0.25">
      <c r="A6" s="775" t="s">
        <v>558</v>
      </c>
      <c r="B6" s="775"/>
    </row>
    <row r="7" spans="1:4" ht="17.100000000000001" customHeight="1" x14ac:dyDescent="0.25">
      <c r="A7" s="775" t="s">
        <v>6</v>
      </c>
      <c r="B7" s="775" t="s">
        <v>1</v>
      </c>
    </row>
    <row r="8" spans="1:4" ht="9.9499999999999993" customHeight="1" x14ac:dyDescent="0.25">
      <c r="A8" s="775"/>
      <c r="B8" s="775"/>
    </row>
    <row r="9" spans="1:4" ht="17.100000000000001" customHeight="1" x14ac:dyDescent="0.25">
      <c r="A9" s="770" t="s">
        <v>559</v>
      </c>
      <c r="B9" s="770"/>
    </row>
    <row r="10" spans="1:4" ht="17.649999999999999" customHeight="1" x14ac:dyDescent="0.25">
      <c r="A10" s="781" t="s">
        <v>639</v>
      </c>
      <c r="B10" s="782"/>
    </row>
    <row r="11" spans="1:4" ht="16.5" x14ac:dyDescent="0.25">
      <c r="A11" s="780" t="s">
        <v>8</v>
      </c>
      <c r="B11" s="783"/>
    </row>
    <row r="12" spans="1:4" ht="16.5" x14ac:dyDescent="0.25">
      <c r="A12" s="780" t="s">
        <v>9</v>
      </c>
      <c r="B12" s="780"/>
      <c r="C12" s="1" t="s">
        <v>166</v>
      </c>
    </row>
    <row r="13" spans="1:4" ht="17.100000000000001" customHeight="1" x14ac:dyDescent="0.25">
      <c r="A13" s="781" t="s">
        <v>7</v>
      </c>
      <c r="B13" s="782"/>
    </row>
    <row r="14" spans="1:4" ht="17.100000000000001" customHeight="1" x14ac:dyDescent="0.25">
      <c r="A14" s="779"/>
      <c r="B14" s="779"/>
    </row>
    <row r="15" spans="1:4" ht="17.100000000000001" customHeight="1" x14ac:dyDescent="0.25">
      <c r="A15" s="776" t="s">
        <v>10</v>
      </c>
      <c r="B15" s="776"/>
    </row>
    <row r="16" spans="1:4" ht="17.100000000000001" customHeight="1" x14ac:dyDescent="0.25">
      <c r="A16" s="789" t="s">
        <v>561</v>
      </c>
      <c r="B16" s="789"/>
    </row>
    <row r="17" spans="1:3" ht="17.100000000000001" customHeight="1" x14ac:dyDescent="0.25">
      <c r="A17" s="761" t="s">
        <v>625</v>
      </c>
      <c r="B17" s="761"/>
    </row>
    <row r="18" spans="1:3" ht="113.85" customHeight="1" x14ac:dyDescent="0.25">
      <c r="A18" s="769" t="s">
        <v>621</v>
      </c>
      <c r="B18" s="770"/>
    </row>
    <row r="19" spans="1:3" ht="82.5" customHeight="1" x14ac:dyDescent="0.25">
      <c r="A19" s="771" t="s">
        <v>640</v>
      </c>
      <c r="B19" s="771"/>
    </row>
    <row r="20" spans="1:3" ht="82.5" customHeight="1" x14ac:dyDescent="0.25">
      <c r="A20" s="790" t="s">
        <v>641</v>
      </c>
      <c r="B20" s="791"/>
    </row>
    <row r="21" spans="1:3" ht="16.5" x14ac:dyDescent="0.25">
      <c r="A21" s="767" t="s">
        <v>626</v>
      </c>
      <c r="B21" s="768"/>
    </row>
    <row r="22" spans="1:3" ht="16.5" x14ac:dyDescent="0.25">
      <c r="A22" s="762" t="s">
        <v>623</v>
      </c>
      <c r="B22" s="762"/>
    </row>
    <row r="23" spans="1:3" ht="32.85" customHeight="1" x14ac:dyDescent="0.25">
      <c r="A23" s="765" t="s">
        <v>619</v>
      </c>
      <c r="B23" s="765"/>
    </row>
    <row r="24" spans="1:3" ht="64.900000000000006" customHeight="1" x14ac:dyDescent="0.25">
      <c r="A24" s="765" t="s">
        <v>622</v>
      </c>
      <c r="B24" s="765"/>
    </row>
    <row r="25" spans="1:3" s="390" customFormat="1" ht="54.4" customHeight="1" x14ac:dyDescent="0.25">
      <c r="A25" s="766" t="s">
        <v>620</v>
      </c>
      <c r="B25" s="766"/>
      <c r="C25" s="391"/>
    </row>
    <row r="26" spans="1:3" ht="17.100000000000001" customHeight="1" x14ac:dyDescent="0.25">
      <c r="A26" s="813" t="s">
        <v>480</v>
      </c>
      <c r="B26" s="813"/>
    </row>
    <row r="27" spans="1:3" s="291" customFormat="1" ht="64.150000000000006" customHeight="1" x14ac:dyDescent="0.25">
      <c r="A27" s="814" t="s">
        <v>566</v>
      </c>
      <c r="B27" s="814"/>
    </row>
    <row r="28" spans="1:3" ht="16.5" x14ac:dyDescent="0.25">
      <c r="A28" s="778" t="s">
        <v>560</v>
      </c>
      <c r="B28" s="778"/>
    </row>
    <row r="29" spans="1:3" ht="17.100000000000001" customHeight="1" x14ac:dyDescent="0.25">
      <c r="A29" s="777" t="s">
        <v>624</v>
      </c>
      <c r="B29" s="777"/>
    </row>
    <row r="30" spans="1:3" ht="234.75" customHeight="1" x14ac:dyDescent="0.25">
      <c r="A30" s="771" t="s">
        <v>562</v>
      </c>
      <c r="B30" s="771"/>
    </row>
    <row r="31" spans="1:3" ht="17.100000000000001" customHeight="1" x14ac:dyDescent="0.25">
      <c r="A31" s="777" t="s">
        <v>627</v>
      </c>
      <c r="B31" s="777"/>
    </row>
    <row r="32" spans="1:3" ht="73.349999999999994" customHeight="1" x14ac:dyDescent="0.25">
      <c r="A32" s="806" t="s">
        <v>642</v>
      </c>
      <c r="B32" s="806"/>
    </row>
    <row r="33" spans="1:2" ht="17.100000000000001" customHeight="1" x14ac:dyDescent="0.25">
      <c r="A33" s="777" t="s">
        <v>628</v>
      </c>
      <c r="B33" s="777" t="s">
        <v>0</v>
      </c>
    </row>
    <row r="34" spans="1:2" ht="169.5" customHeight="1" x14ac:dyDescent="0.3">
      <c r="A34" s="794" t="s">
        <v>643</v>
      </c>
      <c r="B34" s="795"/>
    </row>
    <row r="35" spans="1:2" ht="17.100000000000001" customHeight="1" x14ac:dyDescent="0.25">
      <c r="A35" s="777" t="s">
        <v>629</v>
      </c>
      <c r="B35" s="777"/>
    </row>
    <row r="36" spans="1:2" ht="206.85" customHeight="1" x14ac:dyDescent="0.25">
      <c r="A36" s="796" t="s">
        <v>630</v>
      </c>
      <c r="B36" s="796"/>
    </row>
    <row r="37" spans="1:2" ht="17.100000000000001" customHeight="1" x14ac:dyDescent="0.25">
      <c r="A37" s="758" t="s">
        <v>481</v>
      </c>
      <c r="B37" s="758"/>
    </row>
    <row r="38" spans="1:2" ht="87" customHeight="1" x14ac:dyDescent="0.25">
      <c r="A38" s="797" t="s">
        <v>563</v>
      </c>
      <c r="B38" s="798"/>
    </row>
    <row r="39" spans="1:2" s="318" customFormat="1" ht="16.5" x14ac:dyDescent="0.25">
      <c r="A39" s="799" t="s">
        <v>482</v>
      </c>
      <c r="B39" s="799"/>
    </row>
    <row r="40" spans="1:2" s="318" customFormat="1" ht="52.35" customHeight="1" x14ac:dyDescent="0.25">
      <c r="A40" s="803" t="s">
        <v>564</v>
      </c>
      <c r="B40" s="803"/>
    </row>
    <row r="41" spans="1:2" s="318" customFormat="1" ht="16.5" x14ac:dyDescent="0.25">
      <c r="A41" s="513" t="s">
        <v>631</v>
      </c>
      <c r="B41" s="514">
        <f>'STAT GOGOUNOU'!C11</f>
        <v>64</v>
      </c>
    </row>
    <row r="42" spans="1:2" s="318" customFormat="1" ht="16.5" x14ac:dyDescent="0.25">
      <c r="A42" s="513" t="s">
        <v>12</v>
      </c>
      <c r="B42" s="515">
        <f>'STAT GOGOUNOU'!C12</f>
        <v>0.234375</v>
      </c>
    </row>
    <row r="43" spans="1:2" s="318" customFormat="1" ht="16.5" x14ac:dyDescent="0.25">
      <c r="A43" s="513" t="s">
        <v>632</v>
      </c>
      <c r="B43" s="516">
        <f>'STAT GOGOUNOU'!D11</f>
        <v>13045</v>
      </c>
    </row>
    <row r="44" spans="1:2" ht="33" x14ac:dyDescent="0.25">
      <c r="A44" s="513" t="s">
        <v>14</v>
      </c>
      <c r="B44" s="517">
        <f>'STAT GOGOUNOU'!D12</f>
        <v>0.28003066308930624</v>
      </c>
    </row>
    <row r="45" spans="1:2" ht="25.5" customHeight="1" x14ac:dyDescent="0.25">
      <c r="A45" s="513" t="s">
        <v>633</v>
      </c>
      <c r="B45" s="518">
        <f>'STAT GOGOUNOU'!E11</f>
        <v>17606</v>
      </c>
    </row>
    <row r="46" spans="1:2" ht="33" x14ac:dyDescent="0.25">
      <c r="A46" s="513" t="s">
        <v>13</v>
      </c>
      <c r="B46" s="517">
        <f>'STAT GOGOUNOU'!E12</f>
        <v>0.29242871748267635</v>
      </c>
    </row>
    <row r="47" spans="1:2" s="387" customFormat="1" ht="16.5" x14ac:dyDescent="0.25">
      <c r="A47" s="519"/>
      <c r="B47" s="520"/>
    </row>
    <row r="48" spans="1:2" ht="16.5" x14ac:dyDescent="0.25">
      <c r="A48" s="800" t="s">
        <v>483</v>
      </c>
      <c r="B48" s="801"/>
    </row>
    <row r="49" spans="1:2" ht="16.5" x14ac:dyDescent="0.25">
      <c r="A49" s="804" t="s">
        <v>479</v>
      </c>
      <c r="B49" s="804"/>
    </row>
    <row r="50" spans="1:2" ht="16.5" hidden="1" x14ac:dyDescent="0.25">
      <c r="A50" s="521" t="s">
        <v>245</v>
      </c>
      <c r="B50" s="522"/>
    </row>
    <row r="51" spans="1:2" ht="16.5" hidden="1" x14ac:dyDescent="0.25">
      <c r="A51" s="523" t="s">
        <v>252</v>
      </c>
      <c r="B51" s="522">
        <f>'DONNEES QUANTITATIVES'!D9</f>
        <v>18</v>
      </c>
    </row>
    <row r="52" spans="1:2" ht="16.5" hidden="1" x14ac:dyDescent="0.25">
      <c r="A52" s="523" t="s">
        <v>246</v>
      </c>
      <c r="B52" s="522">
        <f>'DONNEES QUANTITATIVES'!D10</f>
        <v>94.466666666666669</v>
      </c>
    </row>
    <row r="53" spans="1:2" ht="16.5" hidden="1" x14ac:dyDescent="0.25">
      <c r="A53" s="523" t="s">
        <v>247</v>
      </c>
      <c r="B53" s="522">
        <f>'DONNEES QUANTITATIVES'!D11</f>
        <v>220</v>
      </c>
    </row>
    <row r="54" spans="1:2" ht="16.5" hidden="1" x14ac:dyDescent="0.25">
      <c r="A54" s="523" t="s">
        <v>251</v>
      </c>
      <c r="B54" s="524"/>
    </row>
    <row r="55" spans="1:2" ht="16.5" hidden="1" x14ac:dyDescent="0.25">
      <c r="A55" s="523" t="s">
        <v>252</v>
      </c>
      <c r="B55" s="524">
        <f>'DONNEES QUANTITATIVES'!F9</f>
        <v>0</v>
      </c>
    </row>
    <row r="56" spans="1:2" ht="16.5" hidden="1" x14ac:dyDescent="0.25">
      <c r="A56" s="523" t="s">
        <v>246</v>
      </c>
      <c r="B56" s="524">
        <f>'DONNEES QUANTITATIVES'!F10</f>
        <v>4.0897933890974125E-2</v>
      </c>
    </row>
    <row r="57" spans="1:2" ht="16.5" hidden="1" x14ac:dyDescent="0.25">
      <c r="A57" s="523" t="s">
        <v>247</v>
      </c>
      <c r="B57" s="524">
        <f>'DONNEES QUANTITATIVES'!F11</f>
        <v>0.15702479338842976</v>
      </c>
    </row>
    <row r="58" spans="1:2" ht="16.5" x14ac:dyDescent="0.25">
      <c r="A58" s="525" t="s">
        <v>250</v>
      </c>
      <c r="B58" s="526"/>
    </row>
    <row r="59" spans="1:2" ht="16.5" x14ac:dyDescent="0.25">
      <c r="A59" s="523" t="s">
        <v>662</v>
      </c>
      <c r="B59" s="522">
        <f>'STAT GOGOUNOU'!E7</f>
        <v>772.5</v>
      </c>
    </row>
    <row r="60" spans="1:2" ht="16.5" x14ac:dyDescent="0.25">
      <c r="A60" s="523" t="s">
        <v>246</v>
      </c>
      <c r="B60" s="522">
        <f>'STAT GOGOUNOU'!E8</f>
        <v>343.23333333333335</v>
      </c>
    </row>
    <row r="61" spans="1:2" ht="16.5" x14ac:dyDescent="0.25">
      <c r="A61" s="523" t="s">
        <v>252</v>
      </c>
      <c r="B61" s="522">
        <f>'STAT GOGOUNOU'!E9</f>
        <v>102.5</v>
      </c>
    </row>
    <row r="62" spans="1:2" ht="19.7" customHeight="1" x14ac:dyDescent="0.25">
      <c r="A62" s="527" t="s">
        <v>567</v>
      </c>
      <c r="B62" s="528"/>
    </row>
    <row r="63" spans="1:2" ht="16.5" hidden="1" x14ac:dyDescent="0.25">
      <c r="A63" s="528"/>
      <c r="B63" s="528"/>
    </row>
    <row r="64" spans="1:2" ht="16.5" hidden="1" x14ac:dyDescent="0.25">
      <c r="A64" s="528"/>
      <c r="B64" s="528"/>
    </row>
    <row r="65" spans="1:2" ht="16.5" hidden="1" x14ac:dyDescent="0.25">
      <c r="A65" s="528"/>
      <c r="B65" s="528"/>
    </row>
    <row r="66" spans="1:2" ht="16.5" hidden="1" x14ac:dyDescent="0.25">
      <c r="A66" s="528"/>
      <c r="B66" s="528"/>
    </row>
    <row r="67" spans="1:2" ht="16.5" hidden="1" x14ac:dyDescent="0.25">
      <c r="A67" s="528"/>
      <c r="B67" s="528"/>
    </row>
    <row r="68" spans="1:2" ht="16.5" hidden="1" x14ac:dyDescent="0.25">
      <c r="A68" s="528"/>
      <c r="B68" s="528"/>
    </row>
    <row r="69" spans="1:2" ht="16.5" hidden="1" x14ac:dyDescent="0.25">
      <c r="A69" s="528"/>
      <c r="B69" s="528"/>
    </row>
    <row r="70" spans="1:2" ht="16.5" hidden="1" x14ac:dyDescent="0.25">
      <c r="A70" s="528"/>
      <c r="B70" s="528"/>
    </row>
    <row r="71" spans="1:2" ht="16.5" hidden="1" x14ac:dyDescent="0.25">
      <c r="A71" s="528"/>
      <c r="B71" s="528"/>
    </row>
    <row r="72" spans="1:2" ht="16.5" hidden="1" x14ac:dyDescent="0.25">
      <c r="A72" s="528"/>
      <c r="B72" s="528"/>
    </row>
    <row r="73" spans="1:2" ht="16.5" hidden="1" x14ac:dyDescent="0.25">
      <c r="A73" s="528"/>
      <c r="B73" s="528"/>
    </row>
    <row r="74" spans="1:2" ht="16.5" hidden="1" x14ac:dyDescent="0.25">
      <c r="A74" s="528"/>
      <c r="B74" s="528"/>
    </row>
    <row r="75" spans="1:2" ht="16.5" hidden="1" x14ac:dyDescent="0.25">
      <c r="A75" s="528"/>
      <c r="B75" s="528"/>
    </row>
    <row r="76" spans="1:2" ht="16.5" hidden="1" x14ac:dyDescent="0.25">
      <c r="A76" s="528"/>
      <c r="B76" s="528"/>
    </row>
    <row r="77" spans="1:2" ht="16.5" hidden="1" x14ac:dyDescent="0.25">
      <c r="A77" s="528"/>
      <c r="B77" s="528"/>
    </row>
    <row r="78" spans="1:2" ht="16.5" hidden="1" x14ac:dyDescent="0.25">
      <c r="A78" s="528"/>
      <c r="B78" s="528"/>
    </row>
    <row r="79" spans="1:2" ht="17.100000000000001" hidden="1" customHeight="1" x14ac:dyDescent="0.25">
      <c r="A79" s="528"/>
      <c r="B79" s="528"/>
    </row>
    <row r="80" spans="1:2" ht="17.100000000000001" hidden="1" customHeight="1" x14ac:dyDescent="0.25">
      <c r="A80" s="528"/>
      <c r="B80" s="528"/>
    </row>
    <row r="81" spans="1:3" ht="17.100000000000001" customHeight="1" x14ac:dyDescent="0.25">
      <c r="A81" s="805" t="s">
        <v>635</v>
      </c>
      <c r="B81" s="805"/>
      <c r="C81" s="1" t="s">
        <v>166</v>
      </c>
    </row>
    <row r="82" spans="1:3" ht="17.100000000000001" customHeight="1" x14ac:dyDescent="0.25">
      <c r="A82" s="529"/>
      <c r="B82" s="530"/>
    </row>
    <row r="83" spans="1:3" ht="17.100000000000001" customHeight="1" x14ac:dyDescent="0.25">
      <c r="A83" s="530"/>
      <c r="B83" s="530"/>
    </row>
    <row r="84" spans="1:3" ht="17.100000000000001" customHeight="1" x14ac:dyDescent="0.25">
      <c r="A84" s="530"/>
      <c r="B84" s="531"/>
    </row>
    <row r="85" spans="1:3" ht="17.100000000000001" customHeight="1" x14ac:dyDescent="0.25">
      <c r="A85" s="530"/>
      <c r="B85" s="530"/>
    </row>
    <row r="86" spans="1:3" ht="17.100000000000001" customHeight="1" x14ac:dyDescent="0.25">
      <c r="A86" s="530"/>
      <c r="B86" s="530"/>
    </row>
    <row r="87" spans="1:3" ht="17.100000000000001" customHeight="1" x14ac:dyDescent="0.25">
      <c r="A87" s="530"/>
      <c r="B87" s="530"/>
    </row>
    <row r="88" spans="1:3" ht="17.100000000000001" customHeight="1" x14ac:dyDescent="0.25">
      <c r="A88" s="530"/>
      <c r="B88" s="530"/>
    </row>
    <row r="89" spans="1:3" ht="17.100000000000001" customHeight="1" x14ac:dyDescent="0.25">
      <c r="A89" s="530"/>
      <c r="B89" s="530"/>
    </row>
    <row r="90" spans="1:3" ht="17.100000000000001" customHeight="1" x14ac:dyDescent="0.25">
      <c r="A90" s="530"/>
      <c r="B90" s="530"/>
    </row>
    <row r="91" spans="1:3" ht="17.100000000000001" customHeight="1" x14ac:dyDescent="0.25">
      <c r="A91" s="530"/>
      <c r="B91" s="530"/>
    </row>
    <row r="92" spans="1:3" ht="17.100000000000001" customHeight="1" x14ac:dyDescent="0.25">
      <c r="A92" s="530"/>
      <c r="B92" s="530"/>
    </row>
    <row r="93" spans="1:3" ht="17.100000000000001" customHeight="1" x14ac:dyDescent="0.25">
      <c r="A93" s="530"/>
      <c r="B93" s="530"/>
    </row>
    <row r="94" spans="1:3" ht="17.100000000000001" customHeight="1" x14ac:dyDescent="0.25">
      <c r="A94" s="530"/>
      <c r="B94" s="530"/>
    </row>
    <row r="95" spans="1:3" ht="17.100000000000001" customHeight="1" x14ac:dyDescent="0.25">
      <c r="A95" s="530"/>
      <c r="B95" s="530"/>
    </row>
    <row r="96" spans="1:3" ht="17.100000000000001" customHeight="1" x14ac:dyDescent="0.25">
      <c r="A96" s="530"/>
      <c r="B96" s="530"/>
    </row>
    <row r="97" spans="1:2" ht="17.100000000000001" customHeight="1" x14ac:dyDescent="0.25">
      <c r="A97" s="530"/>
      <c r="B97" s="530"/>
    </row>
    <row r="98" spans="1:2" ht="17.100000000000001" customHeight="1" x14ac:dyDescent="0.25">
      <c r="A98" s="530"/>
      <c r="B98" s="530"/>
    </row>
    <row r="99" spans="1:2" ht="17.100000000000001" customHeight="1" x14ac:dyDescent="0.25">
      <c r="A99" s="530"/>
      <c r="B99" s="530"/>
    </row>
    <row r="100" spans="1:2" ht="17.100000000000001" customHeight="1" x14ac:dyDescent="0.25">
      <c r="A100" s="530"/>
      <c r="B100" s="530"/>
    </row>
    <row r="101" spans="1:2" ht="17.100000000000001" customHeight="1" x14ac:dyDescent="0.25">
      <c r="A101" s="530"/>
      <c r="B101" s="530"/>
    </row>
    <row r="102" spans="1:2" ht="17.100000000000001" customHeight="1" x14ac:dyDescent="0.25">
      <c r="A102" s="530"/>
      <c r="B102" s="530"/>
    </row>
    <row r="103" spans="1:2" ht="17.100000000000001" customHeight="1" x14ac:dyDescent="0.25">
      <c r="A103" s="532" t="s">
        <v>574</v>
      </c>
      <c r="B103" s="533"/>
    </row>
    <row r="104" spans="1:2" ht="17.100000000000001" customHeight="1" x14ac:dyDescent="0.25">
      <c r="A104" s="757" t="s">
        <v>579</v>
      </c>
      <c r="B104" s="757"/>
    </row>
    <row r="105" spans="1:2" ht="17.100000000000001" customHeight="1" x14ac:dyDescent="0.25">
      <c r="A105" s="534" t="s">
        <v>578</v>
      </c>
      <c r="B105" s="530"/>
    </row>
    <row r="106" spans="1:2" ht="17.100000000000001" customHeight="1" x14ac:dyDescent="0.25">
      <c r="A106" s="530"/>
      <c r="B106" s="530"/>
    </row>
    <row r="107" spans="1:2" ht="17.100000000000001" customHeight="1" x14ac:dyDescent="0.25">
      <c r="A107" s="750" t="s">
        <v>670</v>
      </c>
      <c r="B107" s="793"/>
    </row>
    <row r="108" spans="1:2" ht="17.100000000000001" customHeight="1" x14ac:dyDescent="0.25">
      <c r="A108" s="759" t="s">
        <v>671</v>
      </c>
      <c r="B108" s="793"/>
    </row>
    <row r="109" spans="1:2" ht="17.100000000000001" customHeight="1" x14ac:dyDescent="0.25">
      <c r="A109" s="759" t="s">
        <v>672</v>
      </c>
      <c r="B109" s="793"/>
    </row>
    <row r="110" spans="1:2" ht="17.100000000000001" customHeight="1" x14ac:dyDescent="0.25">
      <c r="A110" s="759" t="s">
        <v>673</v>
      </c>
      <c r="B110" s="793"/>
    </row>
    <row r="111" spans="1:2" ht="17.100000000000001" customHeight="1" x14ac:dyDescent="0.25">
      <c r="A111" s="759" t="s">
        <v>674</v>
      </c>
      <c r="B111" s="793"/>
    </row>
    <row r="112" spans="1:2" ht="17.100000000000001" customHeight="1" x14ac:dyDescent="0.25">
      <c r="A112" s="759" t="s">
        <v>675</v>
      </c>
      <c r="B112" s="793"/>
    </row>
    <row r="113" spans="1:2" ht="17.100000000000001" customHeight="1" x14ac:dyDescent="0.25">
      <c r="A113" s="530"/>
      <c r="B113" s="530"/>
    </row>
    <row r="114" spans="1:2" ht="17.100000000000001" customHeight="1" x14ac:dyDescent="0.25">
      <c r="A114" s="754" t="s">
        <v>634</v>
      </c>
      <c r="B114" s="754"/>
    </row>
    <row r="115" spans="1:2" ht="17.100000000000001" customHeight="1" x14ac:dyDescent="0.25">
      <c r="A115" s="748"/>
      <c r="B115" s="748"/>
    </row>
    <row r="116" spans="1:2" s="392" customFormat="1" ht="17.100000000000001" customHeight="1" x14ac:dyDescent="0.25">
      <c r="A116" s="748"/>
      <c r="B116" s="748"/>
    </row>
    <row r="117" spans="1:2" s="392" customFormat="1" ht="17.100000000000001" customHeight="1" x14ac:dyDescent="0.25">
      <c r="A117" s="748"/>
      <c r="B117" s="748"/>
    </row>
    <row r="118" spans="1:2" s="392" customFormat="1" ht="17.100000000000001" customHeight="1" x14ac:dyDescent="0.25">
      <c r="A118" s="748"/>
      <c r="B118" s="748"/>
    </row>
    <row r="119" spans="1:2" s="392" customFormat="1" ht="17.100000000000001" customHeight="1" x14ac:dyDescent="0.25">
      <c r="A119" s="748"/>
      <c r="B119" s="748"/>
    </row>
    <row r="120" spans="1:2" s="392" customFormat="1" ht="17.100000000000001" customHeight="1" x14ac:dyDescent="0.25">
      <c r="A120" s="748"/>
      <c r="B120" s="748"/>
    </row>
    <row r="121" spans="1:2" s="392" customFormat="1" ht="17.100000000000001" customHeight="1" x14ac:dyDescent="0.25">
      <c r="A121" s="748"/>
      <c r="B121" s="748"/>
    </row>
    <row r="122" spans="1:2" s="392" customFormat="1" ht="17.100000000000001" customHeight="1" x14ac:dyDescent="0.25">
      <c r="A122" s="748"/>
      <c r="B122" s="748"/>
    </row>
    <row r="123" spans="1:2" s="392" customFormat="1" ht="17.100000000000001" customHeight="1" x14ac:dyDescent="0.25">
      <c r="A123" s="748"/>
      <c r="B123" s="748"/>
    </row>
    <row r="124" spans="1:2" s="392" customFormat="1" ht="17.100000000000001" customHeight="1" x14ac:dyDescent="0.25">
      <c r="A124" s="748"/>
      <c r="B124" s="748"/>
    </row>
    <row r="125" spans="1:2" s="392" customFormat="1" ht="17.100000000000001" customHeight="1" x14ac:dyDescent="0.25">
      <c r="A125" s="748"/>
      <c r="B125" s="748"/>
    </row>
    <row r="126" spans="1:2" s="392" customFormat="1" ht="17.100000000000001" customHeight="1" x14ac:dyDescent="0.25">
      <c r="A126" s="748"/>
      <c r="B126" s="748"/>
    </row>
    <row r="127" spans="1:2" s="392" customFormat="1" ht="17.100000000000001" customHeight="1" x14ac:dyDescent="0.25">
      <c r="A127" s="748"/>
      <c r="B127" s="748"/>
    </row>
    <row r="128" spans="1:2" s="392" customFormat="1" ht="17.100000000000001" customHeight="1" x14ac:dyDescent="0.25">
      <c r="A128" s="748"/>
      <c r="B128" s="748"/>
    </row>
    <row r="129" spans="1:2" s="392" customFormat="1" ht="17.100000000000001" customHeight="1" x14ac:dyDescent="0.25">
      <c r="A129" s="748"/>
      <c r="B129" s="748"/>
    </row>
    <row r="130" spans="1:2" s="392" customFormat="1" ht="17.100000000000001" customHeight="1" x14ac:dyDescent="0.25">
      <c r="A130" s="748"/>
      <c r="B130" s="748"/>
    </row>
    <row r="131" spans="1:2" s="392" customFormat="1" ht="17.100000000000001" customHeight="1" x14ac:dyDescent="0.25">
      <c r="A131" s="748"/>
      <c r="B131" s="748"/>
    </row>
    <row r="132" spans="1:2" s="392" customFormat="1" ht="17.100000000000001" customHeight="1" x14ac:dyDescent="0.25">
      <c r="A132" s="748"/>
      <c r="B132" s="748"/>
    </row>
    <row r="133" spans="1:2" s="392" customFormat="1" ht="17.100000000000001" customHeight="1" x14ac:dyDescent="0.25">
      <c r="A133" s="748"/>
      <c r="B133" s="748"/>
    </row>
    <row r="134" spans="1:2" s="392" customFormat="1" ht="17.100000000000001" customHeight="1" x14ac:dyDescent="0.25">
      <c r="A134" s="748"/>
      <c r="B134" s="748"/>
    </row>
    <row r="135" spans="1:2" s="392" customFormat="1" ht="17.100000000000001" customHeight="1" x14ac:dyDescent="0.25">
      <c r="A135" s="748"/>
      <c r="B135" s="748"/>
    </row>
    <row r="136" spans="1:2" s="392" customFormat="1" ht="17.100000000000001" customHeight="1" x14ac:dyDescent="0.25">
      <c r="A136" s="748"/>
      <c r="B136" s="748"/>
    </row>
    <row r="137" spans="1:2" s="392" customFormat="1" ht="17.100000000000001" customHeight="1" x14ac:dyDescent="0.25">
      <c r="A137" s="748"/>
      <c r="B137" s="748"/>
    </row>
    <row r="138" spans="1:2" s="392" customFormat="1" ht="17.100000000000001" customHeight="1" x14ac:dyDescent="0.25">
      <c r="A138" s="748"/>
      <c r="B138" s="748"/>
    </row>
    <row r="139" spans="1:2" s="392" customFormat="1" ht="17.100000000000001" customHeight="1" x14ac:dyDescent="0.25">
      <c r="A139" s="748"/>
      <c r="B139" s="748"/>
    </row>
    <row r="140" spans="1:2" ht="17.100000000000001" customHeight="1" x14ac:dyDescent="0.25">
      <c r="A140" s="748"/>
      <c r="B140" s="748"/>
    </row>
    <row r="141" spans="1:2" ht="17.100000000000001" customHeight="1" x14ac:dyDescent="0.25">
      <c r="A141" s="748"/>
      <c r="B141" s="748"/>
    </row>
    <row r="142" spans="1:2" ht="17.100000000000001" customHeight="1" x14ac:dyDescent="0.25">
      <c r="A142" s="748"/>
      <c r="B142" s="748"/>
    </row>
    <row r="143" spans="1:2" ht="17.100000000000001" customHeight="1" x14ac:dyDescent="0.25">
      <c r="A143" s="749"/>
      <c r="B143" s="749"/>
    </row>
    <row r="144" spans="1:2" s="318" customFormat="1" ht="33.4" customHeight="1" x14ac:dyDescent="0.25">
      <c r="A144" s="784" t="s">
        <v>636</v>
      </c>
      <c r="B144" s="785"/>
    </row>
    <row r="145" spans="1:2" s="318" customFormat="1" ht="32.1" customHeight="1" x14ac:dyDescent="0.25">
      <c r="A145" s="760" t="s">
        <v>520</v>
      </c>
      <c r="B145" s="760"/>
    </row>
    <row r="146" spans="1:2" s="318" customFormat="1" ht="17.100000000000001" customHeight="1" x14ac:dyDescent="0.25">
      <c r="A146" s="802"/>
      <c r="B146" s="802"/>
    </row>
    <row r="147" spans="1:2" s="318" customFormat="1" ht="17.100000000000001" customHeight="1" x14ac:dyDescent="0.25">
      <c r="A147" s="535"/>
      <c r="B147" s="535"/>
    </row>
    <row r="148" spans="1:2" s="318" customFormat="1" ht="17.100000000000001" customHeight="1" x14ac:dyDescent="0.25">
      <c r="A148" s="535"/>
      <c r="B148" s="535"/>
    </row>
    <row r="149" spans="1:2" s="318" customFormat="1" ht="17.100000000000001" customHeight="1" x14ac:dyDescent="0.25">
      <c r="A149" s="535"/>
      <c r="B149" s="535"/>
    </row>
    <row r="150" spans="1:2" s="318" customFormat="1" ht="17.100000000000001" customHeight="1" x14ac:dyDescent="0.25">
      <c r="A150" s="535"/>
      <c r="B150" s="535"/>
    </row>
    <row r="151" spans="1:2" s="318" customFormat="1" ht="17.100000000000001" customHeight="1" x14ac:dyDescent="0.25">
      <c r="A151" s="535"/>
      <c r="B151" s="535" t="s">
        <v>554</v>
      </c>
    </row>
    <row r="152" spans="1:2" s="318" customFormat="1" ht="17.100000000000001" customHeight="1" x14ac:dyDescent="0.25">
      <c r="A152" s="535"/>
      <c r="B152" s="535"/>
    </row>
    <row r="153" spans="1:2" s="318" customFormat="1" ht="17.100000000000001" customHeight="1" x14ac:dyDescent="0.25">
      <c r="A153" s="535"/>
      <c r="B153" s="535"/>
    </row>
    <row r="154" spans="1:2" s="318" customFormat="1" ht="17.100000000000001" customHeight="1" x14ac:dyDescent="0.25">
      <c r="A154" s="535"/>
      <c r="B154" s="535"/>
    </row>
    <row r="155" spans="1:2" s="318" customFormat="1" ht="17.100000000000001" customHeight="1" x14ac:dyDescent="0.25">
      <c r="A155" s="535"/>
      <c r="B155" s="535"/>
    </row>
    <row r="156" spans="1:2" s="318" customFormat="1" ht="17.100000000000001" customHeight="1" x14ac:dyDescent="0.25">
      <c r="A156" s="535"/>
      <c r="B156" s="535"/>
    </row>
    <row r="157" spans="1:2" s="318" customFormat="1" ht="17.100000000000001" customHeight="1" x14ac:dyDescent="0.25">
      <c r="A157" s="535"/>
      <c r="B157" s="535"/>
    </row>
    <row r="158" spans="1:2" s="318" customFormat="1" ht="17.100000000000001" customHeight="1" x14ac:dyDescent="0.25">
      <c r="A158" s="535"/>
      <c r="B158" s="535"/>
    </row>
    <row r="159" spans="1:2" s="318" customFormat="1" ht="17.100000000000001" customHeight="1" x14ac:dyDescent="0.25">
      <c r="A159" s="535"/>
      <c r="B159" s="535"/>
    </row>
    <row r="160" spans="1:2" s="318" customFormat="1" ht="17.100000000000001" customHeight="1" x14ac:dyDescent="0.25">
      <c r="A160" s="535"/>
      <c r="B160" s="535"/>
    </row>
    <row r="161" spans="1:2" s="318" customFormat="1" ht="17.100000000000001" customHeight="1" x14ac:dyDescent="0.25">
      <c r="A161" s="535"/>
      <c r="B161" s="535"/>
    </row>
    <row r="162" spans="1:2" s="318" customFormat="1" ht="17.100000000000001" customHeight="1" x14ac:dyDescent="0.25">
      <c r="A162" s="535"/>
      <c r="B162" s="535"/>
    </row>
    <row r="163" spans="1:2" s="318" customFormat="1" ht="17.100000000000001" customHeight="1" x14ac:dyDescent="0.25">
      <c r="A163" s="792" t="s">
        <v>575</v>
      </c>
      <c r="B163" s="792"/>
    </row>
    <row r="164" spans="1:2" s="318" customFormat="1" ht="17.100000000000001" customHeight="1" x14ac:dyDescent="0.25">
      <c r="A164" s="536" t="s">
        <v>570</v>
      </c>
      <c r="B164" s="528" t="s">
        <v>568</v>
      </c>
    </row>
    <row r="165" spans="1:2" s="318" customFormat="1" ht="17.100000000000001" customHeight="1" x14ac:dyDescent="0.25">
      <c r="A165" s="536" t="s">
        <v>571</v>
      </c>
      <c r="B165" s="528" t="s">
        <v>569</v>
      </c>
    </row>
    <row r="166" spans="1:2" s="318" customFormat="1" ht="17.100000000000001" customHeight="1" x14ac:dyDescent="0.25">
      <c r="A166" s="536" t="s">
        <v>572</v>
      </c>
      <c r="B166" s="528" t="s">
        <v>573</v>
      </c>
    </row>
    <row r="167" spans="1:2" s="318" customFormat="1" ht="17.100000000000001" customHeight="1" x14ac:dyDescent="0.25">
      <c r="A167" s="535"/>
      <c r="B167" s="535"/>
    </row>
    <row r="168" spans="1:2" s="318" customFormat="1" ht="17.100000000000001" customHeight="1" x14ac:dyDescent="0.25">
      <c r="A168" s="535"/>
      <c r="B168" s="535"/>
    </row>
    <row r="169" spans="1:2" s="318" customFormat="1" ht="17.100000000000001" customHeight="1" x14ac:dyDescent="0.25">
      <c r="A169" s="535"/>
      <c r="B169" s="535"/>
    </row>
    <row r="170" spans="1:2" s="318" customFormat="1" ht="17.100000000000001" customHeight="1" x14ac:dyDescent="0.25">
      <c r="A170" s="535"/>
      <c r="B170" s="535"/>
    </row>
    <row r="171" spans="1:2" s="318" customFormat="1" ht="17.100000000000001" customHeight="1" x14ac:dyDescent="0.25">
      <c r="A171" s="535"/>
      <c r="B171" s="535"/>
    </row>
    <row r="172" spans="1:2" s="318" customFormat="1" ht="17.100000000000001" customHeight="1" x14ac:dyDescent="0.25">
      <c r="A172" s="535"/>
      <c r="B172" s="535"/>
    </row>
    <row r="173" spans="1:2" s="318" customFormat="1" ht="17.100000000000001" customHeight="1" x14ac:dyDescent="0.25">
      <c r="A173" s="535"/>
      <c r="B173" s="535"/>
    </row>
    <row r="174" spans="1:2" s="318" customFormat="1" ht="17.100000000000001" customHeight="1" x14ac:dyDescent="0.25">
      <c r="A174" s="535"/>
      <c r="B174" s="535"/>
    </row>
    <row r="175" spans="1:2" s="318" customFormat="1" ht="17.100000000000001" customHeight="1" x14ac:dyDescent="0.25">
      <c r="A175" s="535"/>
      <c r="B175" s="535"/>
    </row>
    <row r="176" spans="1:2" s="318" customFormat="1" ht="17.100000000000001" customHeight="1" x14ac:dyDescent="0.25">
      <c r="A176" s="535"/>
      <c r="B176" s="535"/>
    </row>
    <row r="177" spans="1:2" s="318" customFormat="1" ht="17.100000000000001" customHeight="1" x14ac:dyDescent="0.25">
      <c r="A177" s="535"/>
      <c r="B177" s="535"/>
    </row>
    <row r="178" spans="1:2" s="318" customFormat="1" ht="17.100000000000001" customHeight="1" x14ac:dyDescent="0.25">
      <c r="A178" s="535"/>
      <c r="B178" s="535"/>
    </row>
    <row r="179" spans="1:2" s="318" customFormat="1" ht="17.100000000000001" customHeight="1" x14ac:dyDescent="0.25">
      <c r="A179" s="535"/>
      <c r="B179" s="535"/>
    </row>
    <row r="180" spans="1:2" s="318" customFormat="1" ht="17.100000000000001" customHeight="1" x14ac:dyDescent="0.25">
      <c r="A180" s="535"/>
      <c r="B180" s="535"/>
    </row>
    <row r="181" spans="1:2" s="318" customFormat="1" ht="17.100000000000001" customHeight="1" x14ac:dyDescent="0.25">
      <c r="A181" s="535"/>
      <c r="B181" s="535"/>
    </row>
    <row r="182" spans="1:2" s="318" customFormat="1" ht="17.100000000000001" customHeight="1" x14ac:dyDescent="0.25">
      <c r="A182" s="535"/>
      <c r="B182" s="535"/>
    </row>
    <row r="183" spans="1:2" s="318" customFormat="1" ht="17.100000000000001" customHeight="1" x14ac:dyDescent="0.25">
      <c r="A183" s="535"/>
      <c r="B183" s="535"/>
    </row>
    <row r="184" spans="1:2" s="318" customFormat="1" ht="17.100000000000001" customHeight="1" x14ac:dyDescent="0.25">
      <c r="A184" s="537" t="s">
        <v>580</v>
      </c>
      <c r="B184" s="535"/>
    </row>
    <row r="185" spans="1:2" s="318" customFormat="1" ht="17.100000000000001" customHeight="1" x14ac:dyDescent="0.25">
      <c r="A185" s="538" t="s">
        <v>581</v>
      </c>
      <c r="B185" s="535"/>
    </row>
    <row r="186" spans="1:2" s="318" customFormat="1" ht="17.100000000000001" customHeight="1" x14ac:dyDescent="0.25">
      <c r="A186" s="535"/>
      <c r="B186" s="535"/>
    </row>
    <row r="187" spans="1:2" s="318" customFormat="1" ht="17.100000000000001" customHeight="1" x14ac:dyDescent="0.25">
      <c r="A187" s="535"/>
      <c r="B187" s="535"/>
    </row>
    <row r="188" spans="1:2" s="318" customFormat="1" ht="17.100000000000001" customHeight="1" x14ac:dyDescent="0.25">
      <c r="A188" s="535"/>
      <c r="B188" s="535"/>
    </row>
    <row r="189" spans="1:2" s="318" customFormat="1" ht="17.100000000000001" customHeight="1" x14ac:dyDescent="0.25">
      <c r="A189" s="539" t="s">
        <v>576</v>
      </c>
      <c r="B189" s="530"/>
    </row>
    <row r="190" spans="1:2" s="318" customFormat="1" ht="17.100000000000001" customHeight="1" x14ac:dyDescent="0.25">
      <c r="A190" s="757" t="s">
        <v>577</v>
      </c>
      <c r="B190" s="757"/>
    </row>
    <row r="191" spans="1:2" s="318" customFormat="1" ht="17.100000000000001" customHeight="1" x14ac:dyDescent="0.25">
      <c r="A191" s="534" t="s">
        <v>578</v>
      </c>
      <c r="B191" s="530"/>
    </row>
    <row r="192" spans="1:2" s="318" customFormat="1" ht="9.1999999999999993" customHeight="1" x14ac:dyDescent="0.25">
      <c r="A192" s="530"/>
      <c r="B192" s="530"/>
    </row>
    <row r="193" spans="1:2" s="318" customFormat="1" ht="17.100000000000001" customHeight="1" x14ac:dyDescent="0.25">
      <c r="A193" s="750" t="s">
        <v>676</v>
      </c>
      <c r="B193" s="753"/>
    </row>
    <row r="194" spans="1:2" s="318" customFormat="1" ht="17.100000000000001" customHeight="1" x14ac:dyDescent="0.25">
      <c r="A194" s="752" t="s">
        <v>677</v>
      </c>
      <c r="B194" s="753"/>
    </row>
    <row r="195" spans="1:2" s="318" customFormat="1" ht="17.100000000000001" customHeight="1" x14ac:dyDescent="0.25">
      <c r="A195" s="752" t="s">
        <v>678</v>
      </c>
      <c r="B195" s="753"/>
    </row>
    <row r="196" spans="1:2" s="318" customFormat="1" ht="17.100000000000001" customHeight="1" x14ac:dyDescent="0.25">
      <c r="A196" s="752" t="s">
        <v>681</v>
      </c>
      <c r="B196" s="753"/>
    </row>
    <row r="197" spans="1:2" s="318" customFormat="1" ht="17.100000000000001" customHeight="1" x14ac:dyDescent="0.25">
      <c r="A197" s="752" t="s">
        <v>682</v>
      </c>
      <c r="B197" s="753"/>
    </row>
    <row r="198" spans="1:2" s="318" customFormat="1" ht="16.5" x14ac:dyDescent="0.25">
      <c r="A198" s="752" t="s">
        <v>786</v>
      </c>
      <c r="B198" s="753"/>
    </row>
    <row r="199" spans="1:2" s="318" customFormat="1" ht="16.5" x14ac:dyDescent="0.25">
      <c r="A199" s="530"/>
      <c r="B199" s="530"/>
    </row>
    <row r="200" spans="1:2" s="318" customFormat="1" ht="16.5" x14ac:dyDescent="0.25">
      <c r="A200" s="754" t="s">
        <v>638</v>
      </c>
      <c r="B200" s="754"/>
    </row>
    <row r="201" spans="1:2" s="318" customFormat="1" ht="16.5" x14ac:dyDescent="0.25">
      <c r="A201" s="748"/>
      <c r="B201" s="748"/>
    </row>
    <row r="202" spans="1:2" s="318" customFormat="1" ht="16.5" x14ac:dyDescent="0.25">
      <c r="A202" s="748"/>
      <c r="B202" s="748"/>
    </row>
    <row r="203" spans="1:2" s="318" customFormat="1" ht="16.5" x14ac:dyDescent="0.25">
      <c r="A203" s="748"/>
      <c r="B203" s="748"/>
    </row>
    <row r="204" spans="1:2" s="318" customFormat="1" ht="16.5" x14ac:dyDescent="0.25">
      <c r="A204" s="748"/>
      <c r="B204" s="748"/>
    </row>
    <row r="205" spans="1:2" s="318" customFormat="1" ht="16.5" x14ac:dyDescent="0.25">
      <c r="A205" s="748"/>
      <c r="B205" s="748"/>
    </row>
    <row r="206" spans="1:2" s="318" customFormat="1" ht="16.5" x14ac:dyDescent="0.25">
      <c r="A206" s="748"/>
      <c r="B206" s="748"/>
    </row>
    <row r="207" spans="1:2" s="318" customFormat="1" ht="16.5" x14ac:dyDescent="0.25">
      <c r="A207" s="748"/>
      <c r="B207" s="748"/>
    </row>
    <row r="208" spans="1:2" s="318" customFormat="1" ht="16.5" x14ac:dyDescent="0.25">
      <c r="A208" s="748"/>
      <c r="B208" s="748"/>
    </row>
    <row r="209" spans="1:2" s="318" customFormat="1" ht="16.5" x14ac:dyDescent="0.25">
      <c r="A209" s="748"/>
      <c r="B209" s="748"/>
    </row>
    <row r="210" spans="1:2" s="318" customFormat="1" ht="16.5" x14ac:dyDescent="0.25">
      <c r="A210" s="748"/>
      <c r="B210" s="748"/>
    </row>
    <row r="211" spans="1:2" s="318" customFormat="1" ht="16.5" x14ac:dyDescent="0.25">
      <c r="A211" s="748"/>
      <c r="B211" s="748"/>
    </row>
    <row r="212" spans="1:2" s="318" customFormat="1" ht="16.5" x14ac:dyDescent="0.25">
      <c r="A212" s="748"/>
      <c r="B212" s="748"/>
    </row>
    <row r="213" spans="1:2" s="318" customFormat="1" ht="16.5" x14ac:dyDescent="0.25">
      <c r="A213" s="748"/>
      <c r="B213" s="748"/>
    </row>
    <row r="214" spans="1:2" s="318" customFormat="1" ht="16.5" x14ac:dyDescent="0.25">
      <c r="A214" s="748"/>
      <c r="B214" s="748"/>
    </row>
    <row r="215" spans="1:2" s="318" customFormat="1" ht="16.5" x14ac:dyDescent="0.25">
      <c r="A215" s="748"/>
      <c r="B215" s="748"/>
    </row>
    <row r="216" spans="1:2" s="318" customFormat="1" ht="16.5" x14ac:dyDescent="0.25">
      <c r="A216" s="748"/>
      <c r="B216" s="748"/>
    </row>
    <row r="217" spans="1:2" s="318" customFormat="1" ht="16.5" x14ac:dyDescent="0.25">
      <c r="A217" s="748"/>
      <c r="B217" s="748"/>
    </row>
    <row r="218" spans="1:2" s="318" customFormat="1" ht="16.5" x14ac:dyDescent="0.25">
      <c r="A218" s="748"/>
      <c r="B218" s="748"/>
    </row>
    <row r="219" spans="1:2" s="318" customFormat="1" ht="16.5" x14ac:dyDescent="0.25">
      <c r="A219" s="748"/>
      <c r="B219" s="748"/>
    </row>
    <row r="220" spans="1:2" s="318" customFormat="1" ht="16.5" x14ac:dyDescent="0.25">
      <c r="A220" s="749"/>
      <c r="B220" s="749"/>
    </row>
    <row r="221" spans="1:2" s="318" customFormat="1" ht="16.5" x14ac:dyDescent="0.25">
      <c r="A221" s="530"/>
      <c r="B221" s="530"/>
    </row>
    <row r="222" spans="1:2" s="318" customFormat="1" ht="30.75" customHeight="1" x14ac:dyDescent="0.25">
      <c r="A222" s="755" t="s">
        <v>637</v>
      </c>
      <c r="B222" s="755"/>
    </row>
    <row r="223" spans="1:2" s="318" customFormat="1" ht="16.5" x14ac:dyDescent="0.25">
      <c r="A223" s="748"/>
      <c r="B223" s="748"/>
    </row>
    <row r="224" spans="1:2" s="318" customFormat="1" ht="16.5" x14ac:dyDescent="0.25">
      <c r="A224" s="748"/>
      <c r="B224" s="748"/>
    </row>
    <row r="225" spans="1:2" s="318" customFormat="1" ht="16.5" x14ac:dyDescent="0.25">
      <c r="A225" s="748"/>
      <c r="B225" s="748"/>
    </row>
    <row r="226" spans="1:2" s="318" customFormat="1" ht="16.5" x14ac:dyDescent="0.25">
      <c r="A226" s="748"/>
      <c r="B226" s="748"/>
    </row>
    <row r="227" spans="1:2" s="318" customFormat="1" ht="16.5" x14ac:dyDescent="0.25">
      <c r="A227" s="748"/>
      <c r="B227" s="748"/>
    </row>
    <row r="228" spans="1:2" s="318" customFormat="1" ht="16.5" x14ac:dyDescent="0.25">
      <c r="A228" s="748"/>
      <c r="B228" s="748"/>
    </row>
    <row r="229" spans="1:2" s="318" customFormat="1" ht="16.5" x14ac:dyDescent="0.25">
      <c r="A229" s="748"/>
      <c r="B229" s="748"/>
    </row>
    <row r="230" spans="1:2" s="318" customFormat="1" ht="28.15" customHeight="1" x14ac:dyDescent="0.25">
      <c r="A230" s="748"/>
      <c r="B230" s="748"/>
    </row>
    <row r="231" spans="1:2" s="318" customFormat="1" ht="16.5" x14ac:dyDescent="0.25">
      <c r="A231" s="748"/>
      <c r="B231" s="748"/>
    </row>
    <row r="232" spans="1:2" s="318" customFormat="1" ht="16.5" x14ac:dyDescent="0.25">
      <c r="A232" s="748"/>
      <c r="B232" s="748"/>
    </row>
    <row r="233" spans="1:2" s="318" customFormat="1" ht="16.5" x14ac:dyDescent="0.25">
      <c r="A233" s="748"/>
      <c r="B233" s="748"/>
    </row>
    <row r="234" spans="1:2" s="318" customFormat="1" ht="16.5" x14ac:dyDescent="0.25">
      <c r="A234" s="748"/>
      <c r="B234" s="748"/>
    </row>
    <row r="235" spans="1:2" s="318" customFormat="1" ht="16.5" x14ac:dyDescent="0.25">
      <c r="A235" s="748"/>
      <c r="B235" s="748"/>
    </row>
    <row r="236" spans="1:2" s="318" customFormat="1" ht="16.5" x14ac:dyDescent="0.25">
      <c r="A236" s="748"/>
      <c r="B236" s="748"/>
    </row>
    <row r="237" spans="1:2" s="318" customFormat="1" ht="16.5" x14ac:dyDescent="0.25">
      <c r="A237" s="748"/>
      <c r="B237" s="748"/>
    </row>
    <row r="238" spans="1:2" s="318" customFormat="1" ht="16.5" x14ac:dyDescent="0.25">
      <c r="A238" s="748"/>
      <c r="B238" s="748"/>
    </row>
    <row r="239" spans="1:2" s="318" customFormat="1" ht="16.5" x14ac:dyDescent="0.25">
      <c r="A239" s="749"/>
      <c r="B239" s="749"/>
    </row>
    <row r="240" spans="1:2" s="318" customFormat="1" ht="16.5" x14ac:dyDescent="0.25">
      <c r="A240" s="530"/>
      <c r="B240" s="530"/>
    </row>
    <row r="241" spans="1:2" s="318" customFormat="1" ht="16.5" x14ac:dyDescent="0.25">
      <c r="A241" s="530"/>
      <c r="B241" s="530"/>
    </row>
    <row r="242" spans="1:2" ht="17.100000000000001" hidden="1" customHeight="1" x14ac:dyDescent="0.25">
      <c r="A242" s="540" t="s">
        <v>565</v>
      </c>
      <c r="B242" s="540"/>
    </row>
    <row r="243" spans="1:2" ht="17.100000000000001" hidden="1" customHeight="1" x14ac:dyDescent="0.25">
      <c r="A243" s="541" t="s">
        <v>197</v>
      </c>
      <c r="B243" s="542" t="s">
        <v>215</v>
      </c>
    </row>
    <row r="244" spans="1:2" ht="17.100000000000001" hidden="1" customHeight="1" x14ac:dyDescent="0.25">
      <c r="A244" s="541" t="s">
        <v>242</v>
      </c>
      <c r="B244" s="543"/>
    </row>
    <row r="245" spans="1:2" ht="17.100000000000001" hidden="1" customHeight="1" x14ac:dyDescent="0.25">
      <c r="A245" s="544" t="s">
        <v>243</v>
      </c>
      <c r="B245" s="545">
        <v>1</v>
      </c>
    </row>
    <row r="246" spans="1:2" ht="17.100000000000001" hidden="1" customHeight="1" x14ac:dyDescent="0.25">
      <c r="A246" s="544" t="s">
        <v>244</v>
      </c>
      <c r="B246" s="546">
        <f>'DONNEES QUANTITATIVES'!Y8</f>
        <v>0</v>
      </c>
    </row>
    <row r="247" spans="1:2" ht="17.100000000000001" hidden="1" customHeight="1" x14ac:dyDescent="0.25">
      <c r="A247" s="541" t="s">
        <v>261</v>
      </c>
      <c r="B247" s="546"/>
    </row>
    <row r="248" spans="1:2" ht="17.100000000000001" hidden="1" customHeight="1" x14ac:dyDescent="0.25">
      <c r="A248" s="544" t="s">
        <v>257</v>
      </c>
      <c r="B248" s="546">
        <f>'DONNEES QUANTITATIVES'!Z8</f>
        <v>0.16666666666666666</v>
      </c>
    </row>
    <row r="249" spans="1:2" ht="17.100000000000001" hidden="1" customHeight="1" x14ac:dyDescent="0.25">
      <c r="A249" s="544" t="s">
        <v>258</v>
      </c>
      <c r="B249" s="546">
        <f>'DONNEES QUANTITATIVES'!Z9</f>
        <v>0.83333333333333337</v>
      </c>
    </row>
    <row r="250" spans="1:2" ht="17.100000000000001" hidden="1" customHeight="1" x14ac:dyDescent="0.25">
      <c r="A250" s="544" t="s">
        <v>259</v>
      </c>
      <c r="B250" s="546">
        <f>'DONNEES QUANTITATIVES'!AB8</f>
        <v>0</v>
      </c>
    </row>
    <row r="251" spans="1:2" ht="17.100000000000001" hidden="1" customHeight="1" x14ac:dyDescent="0.25">
      <c r="A251" s="544" t="s">
        <v>260</v>
      </c>
      <c r="B251" s="546">
        <f>'DONNEES QUANTITATIVES'!AB9</f>
        <v>0</v>
      </c>
    </row>
    <row r="252" spans="1:2" ht="17.100000000000001" hidden="1" customHeight="1" x14ac:dyDescent="0.25">
      <c r="A252" s="541" t="s">
        <v>255</v>
      </c>
      <c r="B252" s="547"/>
    </row>
    <row r="253" spans="1:2" ht="17.100000000000001" hidden="1" customHeight="1" x14ac:dyDescent="0.25">
      <c r="A253" s="544" t="s">
        <v>15</v>
      </c>
      <c r="B253" s="548">
        <f>+'DONNEES QUANTITATIVES'!AF8</f>
        <v>1</v>
      </c>
    </row>
    <row r="254" spans="1:2" ht="17.100000000000001" hidden="1" customHeight="1" x14ac:dyDescent="0.25">
      <c r="A254" s="525" t="s">
        <v>16</v>
      </c>
      <c r="B254" s="548">
        <f>+'DONNEES QUANTITATIVES'!AG8</f>
        <v>1</v>
      </c>
    </row>
    <row r="255" spans="1:2" ht="17.100000000000001" hidden="1" customHeight="1" x14ac:dyDescent="0.25">
      <c r="A255" s="525" t="s">
        <v>17</v>
      </c>
      <c r="B255" s="548">
        <f>COUNTIF('DONNEES QUANTITATIVES'!BB13:BB27,"0")/'DONNEES QUANTITATIVES'!BB5</f>
        <v>1</v>
      </c>
    </row>
    <row r="256" spans="1:2" ht="17.100000000000001" hidden="1" customHeight="1" x14ac:dyDescent="0.25">
      <c r="A256" s="525" t="s">
        <v>18</v>
      </c>
      <c r="B256" s="548">
        <f>+COUNTIF('DONNEES QUANTITATIVES'!BU13:BU27,"0")/'DONNEES QUANTITATIVES'!BU5</f>
        <v>1</v>
      </c>
    </row>
    <row r="257" spans="1:2" ht="17.100000000000001" hidden="1" customHeight="1" x14ac:dyDescent="0.25">
      <c r="A257" s="541" t="s">
        <v>262</v>
      </c>
      <c r="B257" s="548"/>
    </row>
    <row r="258" spans="1:2" ht="33" hidden="1" x14ac:dyDescent="0.25">
      <c r="A258" s="544" t="s">
        <v>190</v>
      </c>
      <c r="B258" s="548">
        <f>COUNTIF('DONNEES QUANTITATIVES'!AL13:AL27,"&gt;1")/'DONNEES QUANTITATIVES'!AL5</f>
        <v>1</v>
      </c>
    </row>
    <row r="259" spans="1:2" ht="17.100000000000001" hidden="1" customHeight="1" x14ac:dyDescent="0.25">
      <c r="A259" s="549" t="s">
        <v>196</v>
      </c>
      <c r="B259" s="550">
        <f>'DONNEES QUANTITATIVES'!AL10</f>
        <v>3.3333333333333335</v>
      </c>
    </row>
    <row r="260" spans="1:2" ht="17.100000000000001" hidden="1" customHeight="1" x14ac:dyDescent="0.25">
      <c r="A260" s="549" t="s">
        <v>644</v>
      </c>
      <c r="B260" s="548">
        <f>+COUNTIFS('DONNEES QUANTITATIVES'!AL13:AL27,"&gt;1",'DONNEES QUANTITATIVES'!AO13:AO27,"&gt;50%")/'DONNEES QUANTITATIVES'!AO5</f>
        <v>0.73333333333333328</v>
      </c>
    </row>
    <row r="261" spans="1:2" ht="17.100000000000001" hidden="1" customHeight="1" x14ac:dyDescent="0.25">
      <c r="A261" s="549" t="s">
        <v>263</v>
      </c>
      <c r="B261" s="548">
        <f>'DONNEES QUANTITATIVES'!AT8</f>
        <v>0.4</v>
      </c>
    </row>
    <row r="262" spans="1:2" ht="17.100000000000001" hidden="1" customHeight="1" x14ac:dyDescent="0.25">
      <c r="A262" s="549" t="s">
        <v>264</v>
      </c>
      <c r="B262" s="548">
        <f>'DONNEES QUANTITATIVES'!AT9</f>
        <v>0.6</v>
      </c>
    </row>
    <row r="263" spans="1:2" ht="17.100000000000001" hidden="1" customHeight="1" x14ac:dyDescent="0.25">
      <c r="A263" s="549" t="s">
        <v>265</v>
      </c>
      <c r="B263" s="548">
        <f>'DONNEES QUANTITATIVES'!AT10</f>
        <v>0</v>
      </c>
    </row>
    <row r="264" spans="1:2" ht="17.100000000000001" hidden="1" customHeight="1" x14ac:dyDescent="0.25">
      <c r="A264" s="541" t="s">
        <v>193</v>
      </c>
      <c r="B264" s="548"/>
    </row>
    <row r="265" spans="1:2" ht="33" hidden="1" x14ac:dyDescent="0.25">
      <c r="A265" s="525" t="s">
        <v>191</v>
      </c>
      <c r="B265" s="548">
        <f>COUNTIF('DONNEES QUANTITATIVES'!BC13:BC27,"&gt;=1")/'DONNEES QUANTITATIVES'!BC5</f>
        <v>0.875</v>
      </c>
    </row>
    <row r="266" spans="1:2" ht="16.5" hidden="1" x14ac:dyDescent="0.25">
      <c r="A266" s="549" t="s">
        <v>266</v>
      </c>
      <c r="B266" s="550">
        <f>'DONNEES QUANTITATIVES'!BC10</f>
        <v>2.625</v>
      </c>
    </row>
    <row r="267" spans="1:2" ht="33" hidden="1" x14ac:dyDescent="0.25">
      <c r="A267" s="549" t="s">
        <v>198</v>
      </c>
      <c r="B267" s="548">
        <f>+COUNTIFS('DONNEES QUANTITATIVES'!BC13:BC27,"&gt;1",'DONNEES QUANTITATIVES'!BF13:BF27,"&gt;50%")/'DONNEES QUANTITATIVES'!BF5</f>
        <v>0.41666666666666669</v>
      </c>
    </row>
    <row r="268" spans="1:2" ht="16.5" hidden="1" x14ac:dyDescent="0.25">
      <c r="A268" s="549" t="s">
        <v>194</v>
      </c>
      <c r="B268" s="551">
        <f>'DONNEES QUANTITATIVES'!BL8</f>
        <v>0.4</v>
      </c>
    </row>
    <row r="269" spans="1:2" ht="17.100000000000001" hidden="1" customHeight="1" x14ac:dyDescent="0.25">
      <c r="A269" s="549" t="s">
        <v>267</v>
      </c>
      <c r="B269" s="551">
        <f>'DONNEES QUANTITATIVES'!BL9</f>
        <v>0.6</v>
      </c>
    </row>
    <row r="270" spans="1:2" ht="17.100000000000001" hidden="1" customHeight="1" x14ac:dyDescent="0.25">
      <c r="A270" s="549" t="s">
        <v>268</v>
      </c>
      <c r="B270" s="551">
        <f>'DONNEES QUANTITATIVES'!BL10</f>
        <v>0</v>
      </c>
    </row>
    <row r="271" spans="1:2" ht="17.100000000000001" hidden="1" customHeight="1" x14ac:dyDescent="0.25">
      <c r="A271" s="541" t="s">
        <v>195</v>
      </c>
      <c r="B271" s="552"/>
    </row>
    <row r="272" spans="1:2" ht="17.100000000000001" hidden="1" customHeight="1" x14ac:dyDescent="0.25">
      <c r="A272" s="525" t="s">
        <v>192</v>
      </c>
      <c r="B272" s="551">
        <f>COUNTIF('DONNEES QUANTITATIVES'!BV13:BV27,"&gt;=1")/'DONNEES QUANTITATIVES'!BV5</f>
        <v>0.38461538461538464</v>
      </c>
    </row>
    <row r="273" spans="1:2" ht="17.100000000000001" hidden="1" customHeight="1" x14ac:dyDescent="0.25">
      <c r="A273" s="549" t="s">
        <v>272</v>
      </c>
      <c r="B273" s="553">
        <f>'DONNEES QUANTITATIVES'!BV10</f>
        <v>0.84615384615384615</v>
      </c>
    </row>
    <row r="274" spans="1:2" ht="17.100000000000001" hidden="1" customHeight="1" x14ac:dyDescent="0.25">
      <c r="A274" s="549" t="s">
        <v>280</v>
      </c>
      <c r="B274" s="551">
        <f>'DONNEES QUANTITATIVES'!BY10</f>
        <v>0.33333333333333331</v>
      </c>
    </row>
    <row r="275" spans="1:2" ht="17.100000000000001" hidden="1" customHeight="1" x14ac:dyDescent="0.25">
      <c r="A275" s="549" t="s">
        <v>269</v>
      </c>
      <c r="B275" s="551">
        <f>'DONNEES QUANTITATIVES'!CE8</f>
        <v>0</v>
      </c>
    </row>
    <row r="276" spans="1:2" ht="17.100000000000001" hidden="1" customHeight="1" x14ac:dyDescent="0.25">
      <c r="A276" s="525" t="s">
        <v>270</v>
      </c>
      <c r="B276" s="551">
        <f>'DONNEES QUANTITATIVES'!CE9</f>
        <v>0.83333333333333337</v>
      </c>
    </row>
    <row r="277" spans="1:2" ht="17.100000000000001" hidden="1" customHeight="1" x14ac:dyDescent="0.25">
      <c r="A277" s="549" t="s">
        <v>271</v>
      </c>
      <c r="B277" s="551">
        <f>'DONNEES QUANTITATIVES'!CE10</f>
        <v>0</v>
      </c>
    </row>
    <row r="278" spans="1:2" ht="17.100000000000001" hidden="1" customHeight="1" x14ac:dyDescent="0.25">
      <c r="A278" s="527" t="s">
        <v>567</v>
      </c>
      <c r="B278" s="540"/>
    </row>
    <row r="279" spans="1:2" ht="17.100000000000001" hidden="1" customHeight="1" x14ac:dyDescent="0.25">
      <c r="A279" s="527"/>
      <c r="B279" s="540"/>
    </row>
    <row r="280" spans="1:2" ht="17.100000000000001" hidden="1" customHeight="1" x14ac:dyDescent="0.25">
      <c r="A280" s="554" t="s">
        <v>634</v>
      </c>
      <c r="B280" s="540"/>
    </row>
    <row r="281" spans="1:2" ht="17.100000000000001" hidden="1" customHeight="1" x14ac:dyDescent="0.25">
      <c r="A281" s="527"/>
      <c r="B281" s="540"/>
    </row>
    <row r="282" spans="1:2" ht="17.100000000000001" hidden="1" customHeight="1" x14ac:dyDescent="0.25">
      <c r="A282" s="527"/>
      <c r="B282" s="540"/>
    </row>
    <row r="283" spans="1:2" ht="17.100000000000001" hidden="1" customHeight="1" x14ac:dyDescent="0.25">
      <c r="A283" s="527"/>
      <c r="B283" s="540"/>
    </row>
    <row r="284" spans="1:2" ht="17.100000000000001" hidden="1" customHeight="1" x14ac:dyDescent="0.25">
      <c r="A284" s="527"/>
      <c r="B284" s="540"/>
    </row>
    <row r="285" spans="1:2" ht="17.100000000000001" hidden="1" customHeight="1" x14ac:dyDescent="0.25">
      <c r="A285" s="527"/>
      <c r="B285" s="540"/>
    </row>
    <row r="286" spans="1:2" ht="17.100000000000001" hidden="1" customHeight="1" x14ac:dyDescent="0.25">
      <c r="A286" s="527"/>
      <c r="B286" s="540"/>
    </row>
    <row r="287" spans="1:2" s="318" customFormat="1" ht="17.100000000000001" customHeight="1" x14ac:dyDescent="0.25">
      <c r="A287" s="784" t="s">
        <v>187</v>
      </c>
      <c r="B287" s="785"/>
    </row>
    <row r="288" spans="1:2" s="318" customFormat="1" ht="17.100000000000001" customHeight="1" x14ac:dyDescent="0.25">
      <c r="A288" s="760" t="s">
        <v>521</v>
      </c>
      <c r="B288" s="760"/>
    </row>
    <row r="289" spans="1:2" s="318" customFormat="1" ht="17.100000000000001" customHeight="1" x14ac:dyDescent="0.25">
      <c r="A289" s="535"/>
      <c r="B289" s="535"/>
    </row>
    <row r="290" spans="1:2" s="318" customFormat="1" ht="17.100000000000001" customHeight="1" x14ac:dyDescent="0.25">
      <c r="A290" s="535"/>
      <c r="B290" s="535"/>
    </row>
    <row r="291" spans="1:2" s="318" customFormat="1" ht="17.100000000000001" customHeight="1" x14ac:dyDescent="0.25">
      <c r="A291" s="535"/>
      <c r="B291" s="535"/>
    </row>
    <row r="292" spans="1:2" s="318" customFormat="1" ht="17.100000000000001" customHeight="1" x14ac:dyDescent="0.25">
      <c r="A292" s="535"/>
      <c r="B292" s="535"/>
    </row>
    <row r="293" spans="1:2" s="318" customFormat="1" ht="17.100000000000001" customHeight="1" x14ac:dyDescent="0.25">
      <c r="A293" s="535"/>
      <c r="B293" s="535"/>
    </row>
    <row r="294" spans="1:2" s="318" customFormat="1" ht="17.100000000000001" customHeight="1" x14ac:dyDescent="0.25">
      <c r="A294" s="535"/>
      <c r="B294" s="535"/>
    </row>
    <row r="295" spans="1:2" s="318" customFormat="1" ht="17.100000000000001" customHeight="1" x14ac:dyDescent="0.25">
      <c r="A295" s="535"/>
      <c r="B295" s="535"/>
    </row>
    <row r="296" spans="1:2" s="318" customFormat="1" ht="17.100000000000001" customHeight="1" x14ac:dyDescent="0.25">
      <c r="A296" s="535"/>
      <c r="B296" s="535"/>
    </row>
    <row r="297" spans="1:2" s="318" customFormat="1" ht="17.100000000000001" customHeight="1" x14ac:dyDescent="0.25">
      <c r="A297" s="535"/>
      <c r="B297" s="535"/>
    </row>
    <row r="298" spans="1:2" s="318" customFormat="1" ht="17.100000000000001" customHeight="1" x14ac:dyDescent="0.25">
      <c r="A298" s="535"/>
      <c r="B298" s="535"/>
    </row>
    <row r="299" spans="1:2" s="318" customFormat="1" ht="17.100000000000001" customHeight="1" x14ac:dyDescent="0.25">
      <c r="A299" s="535"/>
      <c r="B299" s="535"/>
    </row>
    <row r="300" spans="1:2" s="318" customFormat="1" ht="17.100000000000001" customHeight="1" x14ac:dyDescent="0.25">
      <c r="A300" s="535"/>
      <c r="B300" s="535"/>
    </row>
    <row r="301" spans="1:2" s="318" customFormat="1" ht="17.100000000000001" customHeight="1" x14ac:dyDescent="0.25">
      <c r="A301" s="535"/>
      <c r="B301" s="535"/>
    </row>
    <row r="302" spans="1:2" s="318" customFormat="1" ht="17.100000000000001" customHeight="1" x14ac:dyDescent="0.25">
      <c r="A302" s="535"/>
      <c r="B302" s="535"/>
    </row>
    <row r="303" spans="1:2" s="318" customFormat="1" ht="17.100000000000001" customHeight="1" x14ac:dyDescent="0.25">
      <c r="A303" s="535"/>
      <c r="B303" s="535"/>
    </row>
    <row r="304" spans="1:2" s="318" customFormat="1" ht="17.100000000000001" customHeight="1" x14ac:dyDescent="0.25">
      <c r="A304" s="535"/>
      <c r="B304" s="535"/>
    </row>
    <row r="305" spans="1:2" s="318" customFormat="1" ht="17.100000000000001" customHeight="1" x14ac:dyDescent="0.25">
      <c r="A305" s="536" t="s">
        <v>570</v>
      </c>
      <c r="B305" s="528" t="s">
        <v>568</v>
      </c>
    </row>
    <row r="306" spans="1:2" s="318" customFormat="1" ht="17.100000000000001" customHeight="1" x14ac:dyDescent="0.25">
      <c r="A306" s="536" t="s">
        <v>571</v>
      </c>
      <c r="B306" s="528" t="s">
        <v>569</v>
      </c>
    </row>
    <row r="307" spans="1:2" s="318" customFormat="1" ht="17.100000000000001" customHeight="1" x14ac:dyDescent="0.25">
      <c r="A307" s="536" t="s">
        <v>572</v>
      </c>
      <c r="B307" s="528" t="s">
        <v>573</v>
      </c>
    </row>
    <row r="308" spans="1:2" s="318" customFormat="1" ht="17.100000000000001" customHeight="1" x14ac:dyDescent="0.25">
      <c r="A308" s="535"/>
      <c r="B308" s="535"/>
    </row>
    <row r="309" spans="1:2" s="318" customFormat="1" ht="17.100000000000001" customHeight="1" x14ac:dyDescent="0.25">
      <c r="A309" s="535"/>
      <c r="B309" s="535"/>
    </row>
    <row r="310" spans="1:2" s="318" customFormat="1" ht="17.100000000000001" customHeight="1" x14ac:dyDescent="0.25">
      <c r="A310" s="535"/>
      <c r="B310" s="535"/>
    </row>
    <row r="311" spans="1:2" s="318" customFormat="1" ht="17.100000000000001" customHeight="1" x14ac:dyDescent="0.25">
      <c r="A311" s="535"/>
      <c r="B311" s="535"/>
    </row>
    <row r="312" spans="1:2" s="318" customFormat="1" ht="17.100000000000001" customHeight="1" x14ac:dyDescent="0.25">
      <c r="A312" s="535"/>
      <c r="B312" s="535"/>
    </row>
    <row r="313" spans="1:2" s="318" customFormat="1" ht="17.100000000000001" customHeight="1" x14ac:dyDescent="0.25">
      <c r="A313" s="535"/>
      <c r="B313" s="535"/>
    </row>
    <row r="314" spans="1:2" s="318" customFormat="1" ht="17.100000000000001" customHeight="1" x14ac:dyDescent="0.25">
      <c r="A314" s="535"/>
      <c r="B314" s="535"/>
    </row>
    <row r="315" spans="1:2" s="318" customFormat="1" ht="17.100000000000001" customHeight="1" x14ac:dyDescent="0.25">
      <c r="A315" s="535"/>
      <c r="B315" s="535"/>
    </row>
    <row r="316" spans="1:2" s="318" customFormat="1" ht="17.100000000000001" customHeight="1" x14ac:dyDescent="0.25">
      <c r="A316" s="535"/>
      <c r="B316" s="535"/>
    </row>
    <row r="317" spans="1:2" s="318" customFormat="1" ht="17.100000000000001" customHeight="1" x14ac:dyDescent="0.25">
      <c r="A317" s="535"/>
      <c r="B317" s="535"/>
    </row>
    <row r="318" spans="1:2" s="318" customFormat="1" ht="17.100000000000001" customHeight="1" x14ac:dyDescent="0.25">
      <c r="A318" s="535"/>
      <c r="B318" s="535"/>
    </row>
    <row r="319" spans="1:2" s="318" customFormat="1" ht="17.100000000000001" customHeight="1" x14ac:dyDescent="0.25">
      <c r="A319" s="535"/>
      <c r="B319" s="535"/>
    </row>
    <row r="320" spans="1:2" s="318" customFormat="1" ht="17.100000000000001" customHeight="1" x14ac:dyDescent="0.25">
      <c r="A320" s="535"/>
      <c r="B320" s="535"/>
    </row>
    <row r="321" spans="1:2" s="318" customFormat="1" ht="17.100000000000001" customHeight="1" x14ac:dyDescent="0.25">
      <c r="A321" s="535"/>
      <c r="B321" s="535"/>
    </row>
    <row r="322" spans="1:2" s="318" customFormat="1" ht="17.100000000000001" customHeight="1" x14ac:dyDescent="0.25">
      <c r="A322" s="535"/>
      <c r="B322" s="535"/>
    </row>
    <row r="323" spans="1:2" s="318" customFormat="1" ht="17.100000000000001" customHeight="1" x14ac:dyDescent="0.25">
      <c r="A323" s="535"/>
      <c r="B323" s="535"/>
    </row>
    <row r="324" spans="1:2" s="318" customFormat="1" ht="17.100000000000001" customHeight="1" x14ac:dyDescent="0.25">
      <c r="A324" s="535"/>
      <c r="B324" s="535"/>
    </row>
    <row r="325" spans="1:2" s="318" customFormat="1" ht="17.100000000000001" customHeight="1" x14ac:dyDescent="0.25">
      <c r="A325" s="537" t="s">
        <v>580</v>
      </c>
      <c r="B325" s="535"/>
    </row>
    <row r="326" spans="1:2" s="318" customFormat="1" ht="17.100000000000001" customHeight="1" x14ac:dyDescent="0.25">
      <c r="A326" s="538" t="s">
        <v>581</v>
      </c>
      <c r="B326" s="535"/>
    </row>
    <row r="327" spans="1:2" s="318" customFormat="1" ht="17.100000000000001" customHeight="1" x14ac:dyDescent="0.25">
      <c r="A327" s="535"/>
      <c r="B327" s="535"/>
    </row>
    <row r="328" spans="1:2" s="318" customFormat="1" ht="17.100000000000001" customHeight="1" x14ac:dyDescent="0.25">
      <c r="A328" s="539" t="s">
        <v>576</v>
      </c>
      <c r="B328" s="530"/>
    </row>
    <row r="329" spans="1:2" s="318" customFormat="1" ht="17.100000000000001" customHeight="1" x14ac:dyDescent="0.25">
      <c r="A329" s="757" t="s">
        <v>577</v>
      </c>
      <c r="B329" s="757"/>
    </row>
    <row r="330" spans="1:2" s="318" customFormat="1" ht="17.100000000000001" customHeight="1" x14ac:dyDescent="0.25">
      <c r="A330" s="534" t="s">
        <v>578</v>
      </c>
      <c r="B330" s="530"/>
    </row>
    <row r="331" spans="1:2" s="318" customFormat="1" ht="17.100000000000001" customHeight="1" x14ac:dyDescent="0.25">
      <c r="A331" s="750" t="s">
        <v>676</v>
      </c>
      <c r="B331" s="753"/>
    </row>
    <row r="332" spans="1:2" ht="17.100000000000001" customHeight="1" x14ac:dyDescent="0.25">
      <c r="A332" s="759" t="s">
        <v>679</v>
      </c>
      <c r="B332" s="753"/>
    </row>
    <row r="333" spans="1:2" ht="17.100000000000001" customHeight="1" x14ac:dyDescent="0.25">
      <c r="A333" s="759" t="s">
        <v>680</v>
      </c>
      <c r="B333" s="753"/>
    </row>
    <row r="334" spans="1:2" ht="17.100000000000001" customHeight="1" x14ac:dyDescent="0.25">
      <c r="A334" s="530"/>
      <c r="B334" s="530"/>
    </row>
    <row r="335" spans="1:2" ht="17.100000000000001" customHeight="1" x14ac:dyDescent="0.25">
      <c r="A335" s="754" t="s">
        <v>638</v>
      </c>
      <c r="B335" s="754"/>
    </row>
    <row r="336" spans="1:2" ht="17.100000000000001" customHeight="1" x14ac:dyDescent="0.25">
      <c r="A336" s="748"/>
      <c r="B336" s="748"/>
    </row>
    <row r="337" spans="1:2" ht="17.100000000000001" customHeight="1" x14ac:dyDescent="0.25">
      <c r="A337" s="748"/>
      <c r="B337" s="748"/>
    </row>
    <row r="338" spans="1:2" ht="17.100000000000001" customHeight="1" x14ac:dyDescent="0.25">
      <c r="A338" s="748"/>
      <c r="B338" s="748"/>
    </row>
    <row r="339" spans="1:2" ht="17.100000000000001" customHeight="1" x14ac:dyDescent="0.25">
      <c r="A339" s="748"/>
      <c r="B339" s="748"/>
    </row>
    <row r="340" spans="1:2" ht="17.100000000000001" customHeight="1" x14ac:dyDescent="0.25">
      <c r="A340" s="748"/>
      <c r="B340" s="748"/>
    </row>
    <row r="341" spans="1:2" ht="17.100000000000001" customHeight="1" x14ac:dyDescent="0.25">
      <c r="A341" s="748"/>
      <c r="B341" s="748"/>
    </row>
    <row r="342" spans="1:2" ht="17.100000000000001" customHeight="1" x14ac:dyDescent="0.25">
      <c r="A342" s="748"/>
      <c r="B342" s="748"/>
    </row>
    <row r="343" spans="1:2" ht="17.100000000000001" customHeight="1" x14ac:dyDescent="0.25">
      <c r="A343" s="748"/>
      <c r="B343" s="748"/>
    </row>
    <row r="344" spans="1:2" ht="17.100000000000001" customHeight="1" x14ac:dyDescent="0.25">
      <c r="A344" s="748"/>
      <c r="B344" s="748"/>
    </row>
    <row r="345" spans="1:2" ht="17.100000000000001" customHeight="1" x14ac:dyDescent="0.25">
      <c r="A345" s="748"/>
      <c r="B345" s="748"/>
    </row>
    <row r="346" spans="1:2" ht="17.100000000000001" customHeight="1" x14ac:dyDescent="0.25">
      <c r="A346" s="748"/>
      <c r="B346" s="748"/>
    </row>
    <row r="347" spans="1:2" ht="17.100000000000001" customHeight="1" x14ac:dyDescent="0.25">
      <c r="A347" s="748"/>
      <c r="B347" s="748"/>
    </row>
    <row r="348" spans="1:2" ht="17.100000000000001" customHeight="1" x14ac:dyDescent="0.25">
      <c r="A348" s="748"/>
      <c r="B348" s="748"/>
    </row>
    <row r="349" spans="1:2" ht="17.100000000000001" customHeight="1" x14ac:dyDescent="0.25">
      <c r="A349" s="749"/>
      <c r="B349" s="749"/>
    </row>
    <row r="350" spans="1:2" ht="17.100000000000001" customHeight="1" x14ac:dyDescent="0.25">
      <c r="A350" s="530"/>
      <c r="B350" s="530"/>
    </row>
    <row r="351" spans="1:2" ht="37.35" customHeight="1" x14ac:dyDescent="0.25">
      <c r="A351" s="755" t="s">
        <v>637</v>
      </c>
      <c r="B351" s="755"/>
    </row>
    <row r="352" spans="1:2" ht="17.100000000000001" customHeight="1" x14ac:dyDescent="0.25">
      <c r="A352" s="748"/>
      <c r="B352" s="748"/>
    </row>
    <row r="353" spans="1:2" ht="17.100000000000001" customHeight="1" x14ac:dyDescent="0.25">
      <c r="A353" s="748"/>
      <c r="B353" s="748"/>
    </row>
    <row r="354" spans="1:2" ht="17.100000000000001" customHeight="1" x14ac:dyDescent="0.25">
      <c r="A354" s="748"/>
      <c r="B354" s="748"/>
    </row>
    <row r="355" spans="1:2" ht="17.100000000000001" customHeight="1" x14ac:dyDescent="0.25">
      <c r="A355" s="748"/>
      <c r="B355" s="748"/>
    </row>
    <row r="356" spans="1:2" ht="17.100000000000001" customHeight="1" x14ac:dyDescent="0.25">
      <c r="A356" s="748"/>
      <c r="B356" s="748"/>
    </row>
    <row r="357" spans="1:2" ht="17.100000000000001" customHeight="1" x14ac:dyDescent="0.25">
      <c r="A357" s="748"/>
      <c r="B357" s="748"/>
    </row>
    <row r="358" spans="1:2" ht="17.100000000000001" customHeight="1" x14ac:dyDescent="0.25">
      <c r="A358" s="748"/>
      <c r="B358" s="748"/>
    </row>
    <row r="359" spans="1:2" ht="17.100000000000001" customHeight="1" x14ac:dyDescent="0.25">
      <c r="A359" s="748"/>
      <c r="B359" s="748"/>
    </row>
    <row r="360" spans="1:2" ht="17.100000000000001" customHeight="1" x14ac:dyDescent="0.25">
      <c r="A360" s="748"/>
      <c r="B360" s="748"/>
    </row>
    <row r="361" spans="1:2" ht="17.100000000000001" customHeight="1" x14ac:dyDescent="0.25">
      <c r="A361" s="748"/>
      <c r="B361" s="748"/>
    </row>
    <row r="362" spans="1:2" ht="17.100000000000001" customHeight="1" x14ac:dyDescent="0.25">
      <c r="A362" s="748"/>
      <c r="B362" s="748"/>
    </row>
    <row r="363" spans="1:2" ht="17.100000000000001" customHeight="1" x14ac:dyDescent="0.25">
      <c r="A363" s="748"/>
      <c r="B363" s="748"/>
    </row>
    <row r="364" spans="1:2" ht="17.100000000000001" customHeight="1" x14ac:dyDescent="0.25">
      <c r="A364" s="748"/>
      <c r="B364" s="748"/>
    </row>
    <row r="365" spans="1:2" ht="17.100000000000001" customHeight="1" x14ac:dyDescent="0.25">
      <c r="A365" s="748"/>
      <c r="B365" s="748"/>
    </row>
    <row r="366" spans="1:2" ht="17.100000000000001" customHeight="1" x14ac:dyDescent="0.25">
      <c r="A366" s="748"/>
      <c r="B366" s="748"/>
    </row>
    <row r="367" spans="1:2" ht="17.100000000000001" customHeight="1" x14ac:dyDescent="0.25">
      <c r="A367" s="748"/>
      <c r="B367" s="748"/>
    </row>
    <row r="368" spans="1:2" ht="17.100000000000001" customHeight="1" x14ac:dyDescent="0.25">
      <c r="A368" s="748"/>
      <c r="B368" s="748"/>
    </row>
    <row r="369" spans="1:2" ht="17.100000000000001" customHeight="1" x14ac:dyDescent="0.25">
      <c r="A369" s="749"/>
      <c r="B369" s="749"/>
    </row>
    <row r="370" spans="1:2" s="318" customFormat="1" ht="17.100000000000001" customHeight="1" x14ac:dyDescent="0.25">
      <c r="A370" s="535"/>
      <c r="B370" s="535"/>
    </row>
    <row r="371" spans="1:2" s="318" customFormat="1" ht="17.100000000000001" hidden="1" customHeight="1" x14ac:dyDescent="0.25">
      <c r="A371" s="540" t="s">
        <v>522</v>
      </c>
      <c r="B371" s="540"/>
    </row>
    <row r="372" spans="1:2" s="318" customFormat="1" ht="17.100000000000001" hidden="1" customHeight="1" x14ac:dyDescent="0.25">
      <c r="A372" s="541" t="s">
        <v>199</v>
      </c>
      <c r="B372" s="555" t="s">
        <v>214</v>
      </c>
    </row>
    <row r="373" spans="1:2" s="318" customFormat="1" ht="17.100000000000001" hidden="1" customHeight="1" x14ac:dyDescent="0.25">
      <c r="A373" s="541" t="s">
        <v>200</v>
      </c>
      <c r="B373" s="555"/>
    </row>
    <row r="374" spans="1:2" s="318" customFormat="1" ht="17.100000000000001" hidden="1" customHeight="1" x14ac:dyDescent="0.25">
      <c r="A374" s="786" t="s">
        <v>206</v>
      </c>
      <c r="B374" s="786"/>
    </row>
    <row r="375" spans="1:2" s="318" customFormat="1" ht="17.100000000000001" hidden="1" customHeight="1" x14ac:dyDescent="0.25">
      <c r="A375" s="544" t="s">
        <v>224</v>
      </c>
      <c r="B375" s="548">
        <f>+'DONNEES QUANTITATIVES'!CU8</f>
        <v>0</v>
      </c>
    </row>
    <row r="376" spans="1:2" s="318" customFormat="1" ht="17.100000000000001" hidden="1" customHeight="1" x14ac:dyDescent="0.25">
      <c r="A376" s="544" t="s">
        <v>201</v>
      </c>
      <c r="B376" s="548">
        <f>+'DONNEES QUANTITATIVES'!CU9</f>
        <v>0</v>
      </c>
    </row>
    <row r="377" spans="1:2" s="318" customFormat="1" ht="17.100000000000001" hidden="1" customHeight="1" x14ac:dyDescent="0.25">
      <c r="A377" s="549" t="s">
        <v>202</v>
      </c>
      <c r="B377" s="548">
        <f>+'DONNEES QUANTITATIVES'!CU10</f>
        <v>1</v>
      </c>
    </row>
    <row r="378" spans="1:2" s="318" customFormat="1" ht="17.100000000000001" hidden="1" customHeight="1" x14ac:dyDescent="0.25">
      <c r="A378" s="544" t="s">
        <v>225</v>
      </c>
      <c r="B378" s="548">
        <f>+'DONNEES QUANTITATIVES'!DA8</f>
        <v>6.6666666666666666E-2</v>
      </c>
    </row>
    <row r="379" spans="1:2" s="318" customFormat="1" ht="17.100000000000001" hidden="1" customHeight="1" x14ac:dyDescent="0.25">
      <c r="A379" s="549" t="s">
        <v>204</v>
      </c>
      <c r="B379" s="548">
        <f>+'DONNEES QUANTITATIVES'!DA9</f>
        <v>0.13333333333333333</v>
      </c>
    </row>
    <row r="380" spans="1:2" s="318" customFormat="1" ht="17.100000000000001" hidden="1" customHeight="1" x14ac:dyDescent="0.25">
      <c r="A380" s="556" t="s">
        <v>205</v>
      </c>
      <c r="B380" s="548">
        <f>+'DONNEES QUANTITATIVES'!DA10</f>
        <v>0.8</v>
      </c>
    </row>
    <row r="381" spans="1:2" s="318" customFormat="1" ht="17.100000000000001" hidden="1" customHeight="1" x14ac:dyDescent="0.25">
      <c r="A381" s="787" t="s">
        <v>207</v>
      </c>
      <c r="B381" s="787"/>
    </row>
    <row r="382" spans="1:2" s="318" customFormat="1" ht="17.100000000000001" hidden="1" customHeight="1" x14ac:dyDescent="0.25">
      <c r="A382" s="556" t="s">
        <v>226</v>
      </c>
      <c r="B382" s="548">
        <f>+'DONNEES QUANTITATIVES'!CV8</f>
        <v>0.21428571428571427</v>
      </c>
    </row>
    <row r="383" spans="1:2" s="318" customFormat="1" ht="17.100000000000001" hidden="1" customHeight="1" x14ac:dyDescent="0.25">
      <c r="A383" s="549" t="s">
        <v>227</v>
      </c>
      <c r="B383" s="548">
        <f>+'DONNEES QUANTITATIVES'!CV9</f>
        <v>0</v>
      </c>
    </row>
    <row r="384" spans="1:2" s="318" customFormat="1" ht="17.100000000000001" hidden="1" customHeight="1" x14ac:dyDescent="0.25">
      <c r="A384" s="549" t="s">
        <v>203</v>
      </c>
      <c r="B384" s="548">
        <f>+'DONNEES QUANTITATIVES'!CV10</f>
        <v>0.7857142857142857</v>
      </c>
    </row>
    <row r="385" spans="1:2" s="318" customFormat="1" ht="17.100000000000001" hidden="1" customHeight="1" x14ac:dyDescent="0.25">
      <c r="A385" s="787" t="s">
        <v>208</v>
      </c>
      <c r="B385" s="787"/>
    </row>
    <row r="386" spans="1:2" s="318" customFormat="1" ht="17.100000000000001" hidden="1" customHeight="1" x14ac:dyDescent="0.25">
      <c r="A386" s="556" t="s">
        <v>228</v>
      </c>
      <c r="B386" s="548">
        <f>+'DONNEES QUANTITATIVES'!CW8</f>
        <v>0.4</v>
      </c>
    </row>
    <row r="387" spans="1:2" s="318" customFormat="1" ht="17.100000000000001" hidden="1" customHeight="1" x14ac:dyDescent="0.25">
      <c r="A387" s="549" t="s">
        <v>209</v>
      </c>
      <c r="B387" s="548">
        <f>+'DONNEES QUANTITATIVES'!CW9</f>
        <v>0</v>
      </c>
    </row>
    <row r="388" spans="1:2" s="318" customFormat="1" ht="17.100000000000001" hidden="1" customHeight="1" x14ac:dyDescent="0.25">
      <c r="A388" s="549" t="s">
        <v>210</v>
      </c>
      <c r="B388" s="548">
        <f>+'DONNEES QUANTITATIVES'!CW10</f>
        <v>0.6</v>
      </c>
    </row>
    <row r="389" spans="1:2" s="318" customFormat="1" ht="17.100000000000001" hidden="1" customHeight="1" x14ac:dyDescent="0.25">
      <c r="A389" s="788" t="s">
        <v>211</v>
      </c>
      <c r="B389" s="788"/>
    </row>
    <row r="390" spans="1:2" s="318" customFormat="1" ht="17.100000000000001" hidden="1" customHeight="1" x14ac:dyDescent="0.25">
      <c r="A390" s="549" t="s">
        <v>229</v>
      </c>
      <c r="B390" s="551">
        <f>+'DONNEES QUANTITATIVES'!CX8</f>
        <v>0.93333333333333335</v>
      </c>
    </row>
    <row r="391" spans="1:2" s="318" customFormat="1" ht="17.100000000000001" hidden="1" customHeight="1" x14ac:dyDescent="0.25">
      <c r="A391" s="549" t="s">
        <v>212</v>
      </c>
      <c r="B391" s="551">
        <f>+'DONNEES QUANTITATIVES'!CX9</f>
        <v>0</v>
      </c>
    </row>
    <row r="392" spans="1:2" s="318" customFormat="1" ht="17.100000000000001" hidden="1" customHeight="1" x14ac:dyDescent="0.25">
      <c r="A392" s="549" t="s">
        <v>213</v>
      </c>
      <c r="B392" s="551">
        <f>+'DONNEES QUANTITATIVES'!CX10</f>
        <v>6.6666666666666666E-2</v>
      </c>
    </row>
    <row r="393" spans="1:2" s="318" customFormat="1" ht="17.100000000000001" hidden="1" customHeight="1" x14ac:dyDescent="0.25">
      <c r="A393" s="788" t="s">
        <v>222</v>
      </c>
      <c r="B393" s="788"/>
    </row>
    <row r="394" spans="1:2" s="318" customFormat="1" ht="17.100000000000001" hidden="1" customHeight="1" x14ac:dyDescent="0.25">
      <c r="A394" s="549" t="s">
        <v>230</v>
      </c>
      <c r="B394" s="557">
        <f>+'DONNEES QUANTITATIVES'!DB8</f>
        <v>1</v>
      </c>
    </row>
    <row r="395" spans="1:2" s="318" customFormat="1" ht="17.100000000000001" hidden="1" customHeight="1" x14ac:dyDescent="0.25">
      <c r="A395" s="549" t="s">
        <v>217</v>
      </c>
      <c r="B395" s="557">
        <f>+'DONNEES QUANTITATIVES'!DB9</f>
        <v>0</v>
      </c>
    </row>
    <row r="396" spans="1:2" s="317" customFormat="1" ht="17.100000000000001" hidden="1" customHeight="1" x14ac:dyDescent="0.25">
      <c r="A396" s="549" t="s">
        <v>218</v>
      </c>
      <c r="B396" s="557">
        <f>+'DONNEES QUANTITATIVES'!DB10</f>
        <v>0</v>
      </c>
    </row>
    <row r="397" spans="1:2" s="317" customFormat="1" ht="17.100000000000001" hidden="1" customHeight="1" x14ac:dyDescent="0.25">
      <c r="A397" s="525" t="s">
        <v>231</v>
      </c>
      <c r="B397" s="557">
        <f>+'DONNEES QUANTITATIVES'!DF8</f>
        <v>1</v>
      </c>
    </row>
    <row r="398" spans="1:2" s="317" customFormat="1" ht="17.100000000000001" hidden="1" customHeight="1" x14ac:dyDescent="0.25">
      <c r="A398" s="525" t="s">
        <v>219</v>
      </c>
      <c r="B398" s="557">
        <f>+'DONNEES QUANTITATIVES'!DF9</f>
        <v>0</v>
      </c>
    </row>
    <row r="399" spans="1:2" s="317" customFormat="1" ht="17.100000000000001" hidden="1" customHeight="1" x14ac:dyDescent="0.25">
      <c r="A399" s="549" t="s">
        <v>220</v>
      </c>
      <c r="B399" s="557">
        <f>+'DONNEES QUANTITATIVES'!DF10</f>
        <v>0</v>
      </c>
    </row>
    <row r="400" spans="1:2" s="317" customFormat="1" ht="17.100000000000001" hidden="1" customHeight="1" x14ac:dyDescent="0.25">
      <c r="A400" s="541" t="s">
        <v>221</v>
      </c>
      <c r="B400" s="552"/>
    </row>
    <row r="401" spans="1:2" s="317" customFormat="1" ht="17.100000000000001" hidden="1" customHeight="1" x14ac:dyDescent="0.25">
      <c r="A401" s="549" t="s">
        <v>216</v>
      </c>
      <c r="B401" s="551">
        <f>'DONNEES QUANTITATIVES'!CP10</f>
        <v>0.6610687022900763</v>
      </c>
    </row>
    <row r="402" spans="1:2" s="317" customFormat="1" ht="17.100000000000001" hidden="1" customHeight="1" x14ac:dyDescent="0.25">
      <c r="A402" s="525" t="s">
        <v>223</v>
      </c>
      <c r="B402" s="551">
        <f>COUNTIF('DONNEES QUANTITATIVES'!FM13:FM27,"&gt;=1")/'DONNEES QUANTITATIVES'!FM5</f>
        <v>0.8</v>
      </c>
    </row>
    <row r="403" spans="1:2" s="317" customFormat="1" ht="17.100000000000001" hidden="1" customHeight="1" x14ac:dyDescent="0.25">
      <c r="A403" s="558" t="s">
        <v>256</v>
      </c>
      <c r="B403" s="551"/>
    </row>
    <row r="404" spans="1:2" s="317" customFormat="1" ht="17.100000000000001" hidden="1" customHeight="1" x14ac:dyDescent="0.25">
      <c r="A404" s="525" t="s">
        <v>19</v>
      </c>
      <c r="B404" s="559">
        <f>'DONNEES QUANTITATIVES'!J10</f>
        <v>9.0909090909090912E-2</v>
      </c>
    </row>
    <row r="405" spans="1:2" s="317" customFormat="1" ht="17.100000000000001" hidden="1" customHeight="1" x14ac:dyDescent="0.25">
      <c r="A405" s="525" t="s">
        <v>189</v>
      </c>
      <c r="B405" s="559">
        <f>'DONNEES QUANTITATIVES'!L10</f>
        <v>0.2</v>
      </c>
    </row>
    <row r="406" spans="1:2" s="317" customFormat="1" ht="17.100000000000001" hidden="1" customHeight="1" x14ac:dyDescent="0.25">
      <c r="A406" s="525" t="s">
        <v>188</v>
      </c>
      <c r="B406" s="559">
        <f>'DONNEES QUANTITATIVES'!N10</f>
        <v>0.15151515151515149</v>
      </c>
    </row>
    <row r="407" spans="1:2" s="317" customFormat="1" ht="17.100000000000001" hidden="1" customHeight="1" x14ac:dyDescent="0.25">
      <c r="A407" s="525" t="s">
        <v>273</v>
      </c>
      <c r="B407" s="559">
        <f>'DONNEES QUANTITATIVES'!P10</f>
        <v>0.15555555555555556</v>
      </c>
    </row>
    <row r="408" spans="1:2" s="317" customFormat="1" ht="17.100000000000001" customHeight="1" x14ac:dyDescent="0.25">
      <c r="A408" s="519"/>
      <c r="B408" s="560"/>
    </row>
    <row r="409" spans="1:2" s="317" customFormat="1" ht="17.100000000000001" customHeight="1" x14ac:dyDescent="0.25">
      <c r="A409" s="519"/>
      <c r="B409" s="560"/>
    </row>
    <row r="410" spans="1:2" s="291" customFormat="1" ht="17.100000000000001" customHeight="1" x14ac:dyDescent="0.25">
      <c r="A410" s="519"/>
      <c r="B410" s="560"/>
    </row>
    <row r="411" spans="1:2" s="291" customFormat="1" ht="17.100000000000001" customHeight="1" x14ac:dyDescent="0.25">
      <c r="A411" s="784" t="s">
        <v>523</v>
      </c>
      <c r="B411" s="785"/>
    </row>
    <row r="412" spans="1:2" s="317" customFormat="1" ht="17.100000000000001" customHeight="1" x14ac:dyDescent="0.25">
      <c r="A412" s="760" t="s">
        <v>524</v>
      </c>
      <c r="B412" s="760"/>
    </row>
    <row r="413" spans="1:2" s="317" customFormat="1" ht="17.100000000000001" customHeight="1" x14ac:dyDescent="0.25">
      <c r="A413" s="519"/>
      <c r="B413" s="519"/>
    </row>
    <row r="414" spans="1:2" s="317" customFormat="1" ht="17.100000000000001" customHeight="1" x14ac:dyDescent="0.25">
      <c r="A414" s="519"/>
      <c r="B414" s="519"/>
    </row>
    <row r="415" spans="1:2" s="318" customFormat="1" ht="17.100000000000001" customHeight="1" x14ac:dyDescent="0.25">
      <c r="A415" s="519"/>
      <c r="B415" s="519"/>
    </row>
    <row r="416" spans="1:2" s="318" customFormat="1" ht="17.100000000000001" customHeight="1" x14ac:dyDescent="0.25">
      <c r="A416" s="519"/>
      <c r="B416" s="519"/>
    </row>
    <row r="417" spans="1:2" s="318" customFormat="1" ht="17.100000000000001" customHeight="1" x14ac:dyDescent="0.25">
      <c r="A417" s="519"/>
      <c r="B417" s="519"/>
    </row>
    <row r="418" spans="1:2" s="318" customFormat="1" ht="17.100000000000001" customHeight="1" x14ac:dyDescent="0.25">
      <c r="A418" s="519"/>
      <c r="B418" s="519"/>
    </row>
    <row r="419" spans="1:2" s="318" customFormat="1" ht="17.100000000000001" customHeight="1" x14ac:dyDescent="0.25">
      <c r="A419" s="519"/>
      <c r="B419" s="519"/>
    </row>
    <row r="420" spans="1:2" s="318" customFormat="1" ht="17.100000000000001" customHeight="1" x14ac:dyDescent="0.25">
      <c r="A420" s="519"/>
      <c r="B420" s="519"/>
    </row>
    <row r="421" spans="1:2" s="318" customFormat="1" ht="17.100000000000001" customHeight="1" x14ac:dyDescent="0.25">
      <c r="A421" s="519"/>
      <c r="B421" s="519"/>
    </row>
    <row r="422" spans="1:2" s="318" customFormat="1" ht="17.100000000000001" customHeight="1" x14ac:dyDescent="0.25">
      <c r="A422" s="519"/>
      <c r="B422" s="519"/>
    </row>
    <row r="423" spans="1:2" s="318" customFormat="1" ht="17.100000000000001" customHeight="1" x14ac:dyDescent="0.25">
      <c r="A423" s="519"/>
      <c r="B423" s="519"/>
    </row>
    <row r="424" spans="1:2" s="318" customFormat="1" ht="17.100000000000001" customHeight="1" x14ac:dyDescent="0.25">
      <c r="A424" s="519"/>
      <c r="B424" s="519"/>
    </row>
    <row r="425" spans="1:2" s="318" customFormat="1" ht="17.100000000000001" customHeight="1" x14ac:dyDescent="0.25">
      <c r="A425" s="519"/>
      <c r="B425" s="519"/>
    </row>
    <row r="426" spans="1:2" s="318" customFormat="1" ht="17.100000000000001" customHeight="1" x14ac:dyDescent="0.25">
      <c r="A426" s="519"/>
      <c r="B426" s="519"/>
    </row>
    <row r="427" spans="1:2" s="318" customFormat="1" ht="17.100000000000001" customHeight="1" x14ac:dyDescent="0.25">
      <c r="A427" s="519"/>
      <c r="B427" s="519"/>
    </row>
    <row r="428" spans="1:2" s="318" customFormat="1" ht="17.100000000000001" customHeight="1" x14ac:dyDescent="0.25">
      <c r="A428" s="519"/>
      <c r="B428" s="519"/>
    </row>
    <row r="429" spans="1:2" s="318" customFormat="1" ht="17.100000000000001" customHeight="1" x14ac:dyDescent="0.25">
      <c r="A429" s="519"/>
      <c r="B429" s="519"/>
    </row>
    <row r="430" spans="1:2" s="318" customFormat="1" ht="17.100000000000001" customHeight="1" x14ac:dyDescent="0.25">
      <c r="A430" s="536" t="s">
        <v>570</v>
      </c>
      <c r="B430" s="528" t="s">
        <v>568</v>
      </c>
    </row>
    <row r="431" spans="1:2" s="318" customFormat="1" ht="17.100000000000001" customHeight="1" x14ac:dyDescent="0.25">
      <c r="A431" s="536" t="s">
        <v>571</v>
      </c>
      <c r="B431" s="528" t="s">
        <v>569</v>
      </c>
    </row>
    <row r="432" spans="1:2" s="318" customFormat="1" ht="17.100000000000001" customHeight="1" x14ac:dyDescent="0.25">
      <c r="A432" s="536" t="s">
        <v>572</v>
      </c>
      <c r="B432" s="528" t="s">
        <v>573</v>
      </c>
    </row>
    <row r="433" spans="1:2" s="318" customFormat="1" ht="17.100000000000001" customHeight="1" x14ac:dyDescent="0.25">
      <c r="A433" s="519"/>
      <c r="B433" s="519"/>
    </row>
    <row r="434" spans="1:2" s="318" customFormat="1" ht="17.100000000000001" customHeight="1" x14ac:dyDescent="0.25">
      <c r="A434" s="519"/>
      <c r="B434" s="519"/>
    </row>
    <row r="435" spans="1:2" s="318" customFormat="1" ht="17.100000000000001" customHeight="1" x14ac:dyDescent="0.25">
      <c r="A435" s="519"/>
      <c r="B435" s="519"/>
    </row>
    <row r="436" spans="1:2" s="318" customFormat="1" ht="17.100000000000001" customHeight="1" x14ac:dyDescent="0.25">
      <c r="A436" s="519"/>
      <c r="B436" s="519"/>
    </row>
    <row r="437" spans="1:2" s="318" customFormat="1" ht="17.100000000000001" customHeight="1" x14ac:dyDescent="0.25">
      <c r="A437" s="519"/>
      <c r="B437" s="519"/>
    </row>
    <row r="438" spans="1:2" s="318" customFormat="1" ht="17.100000000000001" customHeight="1" x14ac:dyDescent="0.25">
      <c r="A438" s="538"/>
      <c r="B438" s="538"/>
    </row>
    <row r="439" spans="1:2" s="318" customFormat="1" ht="17.100000000000001" customHeight="1" x14ac:dyDescent="0.25">
      <c r="A439" s="538"/>
      <c r="B439" s="538"/>
    </row>
    <row r="440" spans="1:2" s="318" customFormat="1" ht="17.100000000000001" customHeight="1" x14ac:dyDescent="0.25">
      <c r="A440" s="538"/>
      <c r="B440" s="538"/>
    </row>
    <row r="441" spans="1:2" s="318" customFormat="1" ht="17.100000000000001" customHeight="1" x14ac:dyDescent="0.25">
      <c r="A441" s="538"/>
      <c r="B441" s="538"/>
    </row>
    <row r="442" spans="1:2" s="318" customFormat="1" ht="17.100000000000001" customHeight="1" x14ac:dyDescent="0.25">
      <c r="A442" s="538"/>
      <c r="B442" s="538"/>
    </row>
    <row r="443" spans="1:2" s="318" customFormat="1" ht="17.100000000000001" customHeight="1" x14ac:dyDescent="0.25">
      <c r="A443" s="538"/>
      <c r="B443" s="538"/>
    </row>
    <row r="444" spans="1:2" s="318" customFormat="1" ht="17.100000000000001" customHeight="1" x14ac:dyDescent="0.25">
      <c r="A444" s="538"/>
      <c r="B444" s="538"/>
    </row>
    <row r="445" spans="1:2" s="318" customFormat="1" ht="17.100000000000001" customHeight="1" x14ac:dyDescent="0.25">
      <c r="A445" s="538"/>
      <c r="B445" s="538"/>
    </row>
    <row r="446" spans="1:2" s="318" customFormat="1" ht="17.100000000000001" customHeight="1" x14ac:dyDescent="0.25">
      <c r="A446" s="538"/>
      <c r="B446" s="538"/>
    </row>
    <row r="447" spans="1:2" s="318" customFormat="1" ht="17.100000000000001" customHeight="1" x14ac:dyDescent="0.25">
      <c r="A447" s="538"/>
      <c r="B447" s="538"/>
    </row>
    <row r="448" spans="1:2" s="318" customFormat="1" ht="17.100000000000001" customHeight="1" x14ac:dyDescent="0.25">
      <c r="A448" s="538"/>
      <c r="B448" s="538"/>
    </row>
    <row r="449" spans="1:2" s="318" customFormat="1" ht="17.100000000000001" customHeight="1" x14ac:dyDescent="0.25">
      <c r="A449" s="538"/>
      <c r="B449" s="538"/>
    </row>
    <row r="450" spans="1:2" s="318" customFormat="1" ht="17.100000000000001" customHeight="1" x14ac:dyDescent="0.25">
      <c r="A450" s="538"/>
      <c r="B450" s="538"/>
    </row>
    <row r="451" spans="1:2" s="318" customFormat="1" ht="17.100000000000001" customHeight="1" x14ac:dyDescent="0.25">
      <c r="A451" s="756" t="s">
        <v>580</v>
      </c>
      <c r="B451" s="756"/>
    </row>
    <row r="452" spans="1:2" s="318" customFormat="1" ht="17.100000000000001" customHeight="1" x14ac:dyDescent="0.25">
      <c r="A452" s="539" t="s">
        <v>576</v>
      </c>
      <c r="B452" s="530"/>
    </row>
    <row r="453" spans="1:2" ht="17.100000000000001" customHeight="1" x14ac:dyDescent="0.25">
      <c r="A453" s="757" t="s">
        <v>577</v>
      </c>
      <c r="B453" s="757"/>
    </row>
    <row r="454" spans="1:2" ht="17.100000000000001" customHeight="1" x14ac:dyDescent="0.25">
      <c r="A454" s="534" t="s">
        <v>578</v>
      </c>
      <c r="B454" s="530"/>
    </row>
    <row r="455" spans="1:2" ht="16.5" x14ac:dyDescent="0.25">
      <c r="A455" s="530"/>
      <c r="B455" s="530"/>
    </row>
    <row r="456" spans="1:2" ht="16.5" x14ac:dyDescent="0.25">
      <c r="A456" s="750" t="s">
        <v>676</v>
      </c>
      <c r="B456" s="751"/>
    </row>
    <row r="457" spans="1:2" ht="16.5" x14ac:dyDescent="0.25">
      <c r="A457" s="752" t="s">
        <v>677</v>
      </c>
      <c r="B457" s="753"/>
    </row>
    <row r="458" spans="1:2" ht="17.100000000000001" customHeight="1" x14ac:dyDescent="0.25">
      <c r="A458" s="752" t="s">
        <v>678</v>
      </c>
      <c r="B458" s="753"/>
    </row>
    <row r="459" spans="1:2" ht="17.100000000000001" customHeight="1" x14ac:dyDescent="0.25">
      <c r="A459" s="754" t="s">
        <v>638</v>
      </c>
      <c r="B459" s="754"/>
    </row>
    <row r="460" spans="1:2" ht="17.100000000000001" customHeight="1" x14ac:dyDescent="0.25">
      <c r="A460" s="748"/>
      <c r="B460" s="748"/>
    </row>
    <row r="461" spans="1:2" ht="17.100000000000001" customHeight="1" x14ac:dyDescent="0.25">
      <c r="A461" s="748"/>
      <c r="B461" s="748"/>
    </row>
    <row r="462" spans="1:2" s="318" customFormat="1" ht="17.100000000000001" customHeight="1" x14ac:dyDescent="0.25">
      <c r="A462" s="748"/>
      <c r="B462" s="748"/>
    </row>
    <row r="463" spans="1:2" s="318" customFormat="1" ht="17.100000000000001" customHeight="1" x14ac:dyDescent="0.25">
      <c r="A463" s="748"/>
      <c r="B463" s="748"/>
    </row>
    <row r="464" spans="1:2" s="318" customFormat="1" ht="17.100000000000001" customHeight="1" x14ac:dyDescent="0.25">
      <c r="A464" s="748"/>
      <c r="B464" s="748"/>
    </row>
    <row r="465" spans="1:2" s="318" customFormat="1" ht="17.100000000000001" customHeight="1" x14ac:dyDescent="0.25">
      <c r="A465" s="748"/>
      <c r="B465" s="748"/>
    </row>
    <row r="466" spans="1:2" s="318" customFormat="1" ht="17.100000000000001" customHeight="1" x14ac:dyDescent="0.25">
      <c r="A466" s="748"/>
      <c r="B466" s="748"/>
    </row>
    <row r="467" spans="1:2" s="318" customFormat="1" ht="17.100000000000001" customHeight="1" x14ac:dyDescent="0.25">
      <c r="A467" s="748"/>
      <c r="B467" s="748"/>
    </row>
    <row r="468" spans="1:2" s="318" customFormat="1" ht="17.100000000000001" customHeight="1" x14ac:dyDescent="0.25">
      <c r="A468" s="748"/>
      <c r="B468" s="748"/>
    </row>
    <row r="469" spans="1:2" s="318" customFormat="1" ht="17.100000000000001" customHeight="1" x14ac:dyDescent="0.25">
      <c r="A469" s="748"/>
      <c r="B469" s="748"/>
    </row>
    <row r="470" spans="1:2" s="318" customFormat="1" ht="17.100000000000001" customHeight="1" x14ac:dyDescent="0.25">
      <c r="A470" s="748"/>
      <c r="B470" s="748"/>
    </row>
    <row r="471" spans="1:2" s="318" customFormat="1" ht="17.100000000000001" customHeight="1" x14ac:dyDescent="0.25">
      <c r="A471" s="748"/>
      <c r="B471" s="748"/>
    </row>
    <row r="472" spans="1:2" s="318" customFormat="1" ht="17.100000000000001" customHeight="1" x14ac:dyDescent="0.25">
      <c r="A472" s="748"/>
      <c r="B472" s="748"/>
    </row>
    <row r="473" spans="1:2" s="318" customFormat="1" ht="17.100000000000001" customHeight="1" x14ac:dyDescent="0.25">
      <c r="A473" s="748"/>
      <c r="B473" s="748"/>
    </row>
    <row r="474" spans="1:2" s="318" customFormat="1" ht="17.100000000000001" customHeight="1" x14ac:dyDescent="0.25">
      <c r="A474" s="530"/>
      <c r="B474" s="530"/>
    </row>
    <row r="475" spans="1:2" s="318" customFormat="1" ht="28.9" customHeight="1" x14ac:dyDescent="0.25">
      <c r="A475" s="755" t="s">
        <v>637</v>
      </c>
      <c r="B475" s="755"/>
    </row>
    <row r="476" spans="1:2" s="318" customFormat="1" ht="17.100000000000001" customHeight="1" x14ac:dyDescent="0.25">
      <c r="A476" s="748"/>
      <c r="B476" s="748"/>
    </row>
    <row r="477" spans="1:2" s="318" customFormat="1" ht="17.100000000000001" customHeight="1" x14ac:dyDescent="0.25">
      <c r="A477" s="748"/>
      <c r="B477" s="748"/>
    </row>
    <row r="478" spans="1:2" s="318" customFormat="1" ht="17.100000000000001" customHeight="1" x14ac:dyDescent="0.25">
      <c r="A478" s="748"/>
      <c r="B478" s="748"/>
    </row>
    <row r="479" spans="1:2" s="318" customFormat="1" ht="17.100000000000001" customHeight="1" x14ac:dyDescent="0.25">
      <c r="A479" s="748"/>
      <c r="B479" s="748"/>
    </row>
    <row r="480" spans="1:2" s="318" customFormat="1" ht="17.100000000000001" customHeight="1" x14ac:dyDescent="0.25">
      <c r="A480" s="748"/>
      <c r="B480" s="748"/>
    </row>
    <row r="481" spans="1:2" s="318" customFormat="1" ht="17.100000000000001" customHeight="1" x14ac:dyDescent="0.25">
      <c r="A481" s="748"/>
      <c r="B481" s="748"/>
    </row>
    <row r="482" spans="1:2" s="318" customFormat="1" ht="17.100000000000001" customHeight="1" x14ac:dyDescent="0.25">
      <c r="A482" s="748"/>
      <c r="B482" s="748"/>
    </row>
    <row r="483" spans="1:2" s="318" customFormat="1" ht="17.100000000000001" customHeight="1" x14ac:dyDescent="0.25">
      <c r="A483" s="748"/>
      <c r="B483" s="748"/>
    </row>
    <row r="484" spans="1:2" s="318" customFormat="1" ht="17.100000000000001" customHeight="1" x14ac:dyDescent="0.25">
      <c r="A484" s="748"/>
      <c r="B484" s="748"/>
    </row>
    <row r="485" spans="1:2" s="318" customFormat="1" ht="17.100000000000001" customHeight="1" x14ac:dyDescent="0.25">
      <c r="A485" s="748"/>
      <c r="B485" s="748"/>
    </row>
    <row r="486" spans="1:2" s="318" customFormat="1" ht="17.100000000000001" customHeight="1" x14ac:dyDescent="0.25">
      <c r="A486" s="748"/>
      <c r="B486" s="748"/>
    </row>
    <row r="487" spans="1:2" s="318" customFormat="1" ht="17.100000000000001" customHeight="1" x14ac:dyDescent="0.25">
      <c r="A487" s="748"/>
      <c r="B487" s="748"/>
    </row>
    <row r="488" spans="1:2" s="318" customFormat="1" ht="17.100000000000001" customHeight="1" x14ac:dyDescent="0.25">
      <c r="A488" s="748"/>
      <c r="B488" s="748"/>
    </row>
    <row r="489" spans="1:2" ht="17.100000000000001" customHeight="1" x14ac:dyDescent="0.25">
      <c r="A489" s="748"/>
      <c r="B489" s="748"/>
    </row>
    <row r="490" spans="1:2" ht="17.100000000000001" customHeight="1" x14ac:dyDescent="0.25">
      <c r="A490" s="748"/>
      <c r="B490" s="748"/>
    </row>
    <row r="491" spans="1:2" ht="17.100000000000001" customHeight="1" x14ac:dyDescent="0.25">
      <c r="A491" s="749"/>
      <c r="B491" s="749"/>
    </row>
    <row r="492" spans="1:2" ht="17.100000000000001" hidden="1" customHeight="1" x14ac:dyDescent="0.25">
      <c r="A492" s="538"/>
      <c r="B492" s="538"/>
    </row>
    <row r="493" spans="1:2" s="318" customFormat="1" ht="17.100000000000001" hidden="1" customHeight="1" x14ac:dyDescent="0.25">
      <c r="A493" s="540" t="s">
        <v>525</v>
      </c>
      <c r="B493" s="530"/>
    </row>
    <row r="494" spans="1:2" s="318" customFormat="1" ht="17.100000000000001" hidden="1" customHeight="1" x14ac:dyDescent="0.25">
      <c r="A494" s="541" t="s">
        <v>232</v>
      </c>
      <c r="B494" s="555" t="s">
        <v>214</v>
      </c>
    </row>
    <row r="495" spans="1:2" s="318" customFormat="1" ht="17.100000000000001" hidden="1" customHeight="1" x14ac:dyDescent="0.25">
      <c r="A495" s="544" t="s">
        <v>275</v>
      </c>
      <c r="B495" s="561" t="e">
        <f>COUNTIF('DONNEES QUANTITATIVES'!DV13:DV27,"&lt;40%")/'DONNEES QUANTITATIVES'!DV5</f>
        <v>#DIV/0!</v>
      </c>
    </row>
    <row r="496" spans="1:2" s="318" customFormat="1" ht="17.100000000000001" hidden="1" customHeight="1" x14ac:dyDescent="0.25">
      <c r="A496" s="544" t="s">
        <v>235</v>
      </c>
      <c r="B496" s="562" t="e">
        <f>'DONNEES QUANTITATIVES'!DV10</f>
        <v>#DIV/0!</v>
      </c>
    </row>
    <row r="497" spans="1:2" s="318" customFormat="1" ht="17.100000000000001" hidden="1" customHeight="1" x14ac:dyDescent="0.25">
      <c r="A497" s="544" t="s">
        <v>234</v>
      </c>
      <c r="B497" s="548" t="e">
        <f>'DONNEES QUANTITATIVES'!EY10</f>
        <v>#DIV/0!</v>
      </c>
    </row>
    <row r="498" spans="1:2" s="318" customFormat="1" ht="17.100000000000001" hidden="1" customHeight="1" x14ac:dyDescent="0.25">
      <c r="A498" s="544" t="s">
        <v>233</v>
      </c>
      <c r="B498" s="548" t="e">
        <f>'DONNEES QUANTITATIVES'!DX10</f>
        <v>#DIV/0!</v>
      </c>
    </row>
    <row r="499" spans="1:2" s="318" customFormat="1" ht="17.100000000000001" hidden="1" customHeight="1" x14ac:dyDescent="0.25">
      <c r="A499" s="549"/>
      <c r="B499" s="548"/>
    </row>
    <row r="500" spans="1:2" s="318" customFormat="1" ht="17.100000000000001" hidden="1" customHeight="1" x14ac:dyDescent="0.25">
      <c r="A500" s="538"/>
      <c r="B500" s="538"/>
    </row>
    <row r="501" spans="1:2" s="318" customFormat="1" ht="17.100000000000001" customHeight="1" x14ac:dyDescent="0.25">
      <c r="A501" s="758" t="s">
        <v>274</v>
      </c>
      <c r="B501" s="758"/>
    </row>
    <row r="502" spans="1:2" s="318" customFormat="1" ht="17.100000000000001" customHeight="1" x14ac:dyDescent="0.25">
      <c r="A502" s="760" t="s">
        <v>526</v>
      </c>
      <c r="B502" s="760"/>
    </row>
    <row r="503" spans="1:2" s="318" customFormat="1" ht="17.100000000000001" customHeight="1" x14ac:dyDescent="0.25">
      <c r="A503" s="535"/>
      <c r="B503" s="535"/>
    </row>
    <row r="504" spans="1:2" s="318" customFormat="1" ht="17.100000000000001" customHeight="1" x14ac:dyDescent="0.25">
      <c r="A504" s="538"/>
      <c r="B504" s="538"/>
    </row>
    <row r="505" spans="1:2" s="318" customFormat="1" ht="17.100000000000001" customHeight="1" x14ac:dyDescent="0.25">
      <c r="A505" s="538"/>
      <c r="B505" s="538"/>
    </row>
    <row r="506" spans="1:2" s="318" customFormat="1" ht="17.100000000000001" customHeight="1" x14ac:dyDescent="0.25">
      <c r="A506" s="538"/>
      <c r="B506" s="538"/>
    </row>
    <row r="507" spans="1:2" s="318" customFormat="1" ht="17.100000000000001" customHeight="1" x14ac:dyDescent="0.25">
      <c r="A507" s="538"/>
      <c r="B507" s="538"/>
    </row>
    <row r="508" spans="1:2" s="318" customFormat="1" ht="17.100000000000001" customHeight="1" x14ac:dyDescent="0.25">
      <c r="A508" s="538"/>
      <c r="B508" s="538"/>
    </row>
    <row r="509" spans="1:2" s="318" customFormat="1" ht="17.100000000000001" customHeight="1" x14ac:dyDescent="0.25">
      <c r="A509" s="538"/>
      <c r="B509" s="538"/>
    </row>
    <row r="510" spans="1:2" s="318" customFormat="1" ht="17.100000000000001" customHeight="1" x14ac:dyDescent="0.25">
      <c r="A510" s="538"/>
      <c r="B510" s="538"/>
    </row>
    <row r="511" spans="1:2" s="318" customFormat="1" ht="17.100000000000001" customHeight="1" x14ac:dyDescent="0.25">
      <c r="A511" s="538"/>
      <c r="B511" s="538"/>
    </row>
    <row r="512" spans="1:2" s="318" customFormat="1" ht="17.100000000000001" customHeight="1" x14ac:dyDescent="0.25">
      <c r="A512" s="538"/>
      <c r="B512" s="538"/>
    </row>
    <row r="513" spans="1:2" s="318" customFormat="1" ht="17.100000000000001" customHeight="1" x14ac:dyDescent="0.25">
      <c r="A513" s="538"/>
      <c r="B513" s="538"/>
    </row>
    <row r="514" spans="1:2" s="318" customFormat="1" ht="17.100000000000001" customHeight="1" x14ac:dyDescent="0.25">
      <c r="A514" s="538"/>
      <c r="B514" s="538"/>
    </row>
    <row r="515" spans="1:2" s="318" customFormat="1" ht="17.100000000000001" customHeight="1" x14ac:dyDescent="0.25">
      <c r="A515" s="538"/>
      <c r="B515" s="538"/>
    </row>
    <row r="516" spans="1:2" s="318" customFormat="1" ht="17.100000000000001" customHeight="1" x14ac:dyDescent="0.25">
      <c r="A516" s="538"/>
      <c r="B516" s="538"/>
    </row>
    <row r="517" spans="1:2" s="318" customFormat="1" ht="17.100000000000001" customHeight="1" x14ac:dyDescent="0.25">
      <c r="A517" s="538"/>
      <c r="B517" s="538"/>
    </row>
    <row r="518" spans="1:2" s="318" customFormat="1" ht="17.100000000000001" customHeight="1" x14ac:dyDescent="0.25">
      <c r="A518" s="536" t="s">
        <v>570</v>
      </c>
      <c r="B518" s="528" t="s">
        <v>568</v>
      </c>
    </row>
    <row r="519" spans="1:2" s="318" customFormat="1" ht="17.100000000000001" customHeight="1" x14ac:dyDescent="0.25">
      <c r="A519" s="536" t="s">
        <v>571</v>
      </c>
      <c r="B519" s="528" t="s">
        <v>569</v>
      </c>
    </row>
    <row r="520" spans="1:2" s="318" customFormat="1" ht="17.100000000000001" customHeight="1" x14ac:dyDescent="0.25">
      <c r="A520" s="536" t="s">
        <v>572</v>
      </c>
      <c r="B520" s="528" t="s">
        <v>573</v>
      </c>
    </row>
    <row r="521" spans="1:2" s="318" customFormat="1" ht="17.100000000000001" customHeight="1" x14ac:dyDescent="0.25">
      <c r="A521" s="538"/>
      <c r="B521" s="538"/>
    </row>
    <row r="522" spans="1:2" s="318" customFormat="1" ht="17.100000000000001" customHeight="1" x14ac:dyDescent="0.25">
      <c r="A522" s="538"/>
      <c r="B522" s="538"/>
    </row>
    <row r="523" spans="1:2" s="318" customFormat="1" ht="17.100000000000001" customHeight="1" x14ac:dyDescent="0.25">
      <c r="A523" s="538"/>
      <c r="B523" s="538"/>
    </row>
    <row r="524" spans="1:2" s="318" customFormat="1" ht="17.100000000000001" customHeight="1" x14ac:dyDescent="0.25">
      <c r="A524" s="538"/>
      <c r="B524" s="538"/>
    </row>
    <row r="525" spans="1:2" s="318" customFormat="1" ht="17.100000000000001" customHeight="1" x14ac:dyDescent="0.25">
      <c r="A525" s="538"/>
      <c r="B525" s="538"/>
    </row>
    <row r="526" spans="1:2" s="318" customFormat="1" ht="17.100000000000001" customHeight="1" x14ac:dyDescent="0.25">
      <c r="A526" s="538"/>
      <c r="B526" s="538"/>
    </row>
    <row r="527" spans="1:2" s="318" customFormat="1" ht="17.100000000000001" customHeight="1" x14ac:dyDescent="0.25">
      <c r="A527" s="538"/>
      <c r="B527" s="538"/>
    </row>
    <row r="528" spans="1:2" s="318" customFormat="1" ht="17.100000000000001" customHeight="1" x14ac:dyDescent="0.25">
      <c r="A528" s="538"/>
      <c r="B528" s="538"/>
    </row>
    <row r="529" spans="1:2" ht="17.100000000000001" customHeight="1" x14ac:dyDescent="0.25">
      <c r="A529" s="538"/>
      <c r="B529" s="538"/>
    </row>
    <row r="530" spans="1:2" ht="17.100000000000001" customHeight="1" x14ac:dyDescent="0.25">
      <c r="A530" s="538"/>
      <c r="B530" s="538"/>
    </row>
    <row r="531" spans="1:2" ht="17.100000000000001" customHeight="1" x14ac:dyDescent="0.25">
      <c r="A531" s="538"/>
      <c r="B531" s="538"/>
    </row>
    <row r="532" spans="1:2" ht="17.100000000000001" customHeight="1" x14ac:dyDescent="0.25">
      <c r="A532" s="538"/>
      <c r="B532" s="538"/>
    </row>
    <row r="533" spans="1:2" ht="17.100000000000001" customHeight="1" x14ac:dyDescent="0.25">
      <c r="A533" s="538"/>
      <c r="B533" s="538"/>
    </row>
    <row r="534" spans="1:2" ht="17.100000000000001" customHeight="1" x14ac:dyDescent="0.25">
      <c r="A534" s="538"/>
      <c r="B534" s="538"/>
    </row>
    <row r="535" spans="1:2" ht="17.100000000000001" customHeight="1" x14ac:dyDescent="0.25">
      <c r="A535" s="538"/>
      <c r="B535" s="538"/>
    </row>
    <row r="536" spans="1:2" ht="17.100000000000001" customHeight="1" x14ac:dyDescent="0.25">
      <c r="A536" s="756" t="s">
        <v>580</v>
      </c>
      <c r="B536" s="756"/>
    </row>
    <row r="537" spans="1:2" ht="17.100000000000001" customHeight="1" x14ac:dyDescent="0.25">
      <c r="A537" s="539" t="s">
        <v>576</v>
      </c>
      <c r="B537" s="530"/>
    </row>
    <row r="538" spans="1:2" ht="17.100000000000001" customHeight="1" x14ac:dyDescent="0.25">
      <c r="A538" s="757" t="s">
        <v>577</v>
      </c>
      <c r="B538" s="757"/>
    </row>
    <row r="539" spans="1:2" ht="17.100000000000001" customHeight="1" x14ac:dyDescent="0.25">
      <c r="A539" s="534" t="s">
        <v>578</v>
      </c>
      <c r="B539" s="530"/>
    </row>
    <row r="540" spans="1:2" ht="17.100000000000001" customHeight="1" x14ac:dyDescent="0.25">
      <c r="A540" s="750" t="s">
        <v>676</v>
      </c>
      <c r="B540" s="751"/>
    </row>
    <row r="541" spans="1:2" ht="17.100000000000001" customHeight="1" x14ac:dyDescent="0.25">
      <c r="A541" s="759" t="s">
        <v>679</v>
      </c>
      <c r="B541" s="753"/>
    </row>
    <row r="542" spans="1:2" ht="17.100000000000001" customHeight="1" x14ac:dyDescent="0.25">
      <c r="A542" s="759" t="s">
        <v>680</v>
      </c>
      <c r="B542" s="753"/>
    </row>
    <row r="543" spans="1:2" ht="17.100000000000001" customHeight="1" x14ac:dyDescent="0.25">
      <c r="A543" s="538"/>
      <c r="B543" s="538"/>
    </row>
    <row r="544" spans="1:2" ht="17.100000000000001" customHeight="1" x14ac:dyDescent="0.25">
      <c r="A544" s="754" t="s">
        <v>638</v>
      </c>
      <c r="B544" s="754"/>
    </row>
    <row r="545" spans="1:2" ht="17.100000000000001" customHeight="1" x14ac:dyDescent="0.25">
      <c r="A545" s="748"/>
      <c r="B545" s="748"/>
    </row>
    <row r="546" spans="1:2" ht="17.100000000000001" customHeight="1" x14ac:dyDescent="0.25">
      <c r="A546" s="748"/>
      <c r="B546" s="748"/>
    </row>
    <row r="547" spans="1:2" ht="17.100000000000001" customHeight="1" x14ac:dyDescent="0.25">
      <c r="A547" s="748"/>
      <c r="B547" s="748"/>
    </row>
    <row r="548" spans="1:2" ht="17.100000000000001" customHeight="1" x14ac:dyDescent="0.25">
      <c r="A548" s="748"/>
      <c r="B548" s="748"/>
    </row>
    <row r="549" spans="1:2" ht="17.100000000000001" customHeight="1" x14ac:dyDescent="0.25">
      <c r="A549" s="748"/>
      <c r="B549" s="748"/>
    </row>
    <row r="550" spans="1:2" ht="17.100000000000001" customHeight="1" x14ac:dyDescent="0.25">
      <c r="A550" s="748"/>
      <c r="B550" s="748"/>
    </row>
    <row r="551" spans="1:2" ht="17.100000000000001" customHeight="1" x14ac:dyDescent="0.25">
      <c r="A551" s="748"/>
      <c r="B551" s="748"/>
    </row>
    <row r="552" spans="1:2" ht="17.100000000000001" customHeight="1" x14ac:dyDescent="0.25">
      <c r="A552" s="748"/>
      <c r="B552" s="748"/>
    </row>
    <row r="553" spans="1:2" ht="17.100000000000001" customHeight="1" x14ac:dyDescent="0.25">
      <c r="A553" s="748"/>
      <c r="B553" s="748"/>
    </row>
    <row r="554" spans="1:2" ht="17.100000000000001" customHeight="1" x14ac:dyDescent="0.25">
      <c r="A554" s="748"/>
      <c r="B554" s="748"/>
    </row>
    <row r="555" spans="1:2" ht="17.100000000000001" customHeight="1" x14ac:dyDescent="0.25">
      <c r="A555" s="748"/>
      <c r="B555" s="748"/>
    </row>
    <row r="556" spans="1:2" ht="17.100000000000001" customHeight="1" x14ac:dyDescent="0.25">
      <c r="A556" s="748"/>
      <c r="B556" s="748"/>
    </row>
    <row r="557" spans="1:2" ht="17.100000000000001" customHeight="1" x14ac:dyDescent="0.25">
      <c r="A557" s="748"/>
      <c r="B557" s="748"/>
    </row>
    <row r="558" spans="1:2" ht="17.100000000000001" customHeight="1" x14ac:dyDescent="0.25">
      <c r="A558" s="748"/>
      <c r="B558" s="748"/>
    </row>
    <row r="559" spans="1:2" ht="17.100000000000001" customHeight="1" x14ac:dyDescent="0.25">
      <c r="A559" s="748"/>
      <c r="B559" s="748"/>
    </row>
    <row r="560" spans="1:2" ht="17.100000000000001" customHeight="1" x14ac:dyDescent="0.25">
      <c r="A560" s="748"/>
      <c r="B560" s="748"/>
    </row>
    <row r="561" spans="1:2" ht="17.100000000000001" customHeight="1" x14ac:dyDescent="0.25">
      <c r="A561" s="748"/>
      <c r="B561" s="748"/>
    </row>
    <row r="562" spans="1:2" ht="17.100000000000001" customHeight="1" x14ac:dyDescent="0.25">
      <c r="A562" s="748"/>
      <c r="B562" s="748"/>
    </row>
    <row r="563" spans="1:2" ht="17.100000000000001" customHeight="1" x14ac:dyDescent="0.25">
      <c r="A563" s="749"/>
      <c r="B563" s="749"/>
    </row>
    <row r="564" spans="1:2" ht="17.100000000000001" customHeight="1" x14ac:dyDescent="0.25">
      <c r="A564" s="530"/>
      <c r="B564" s="530"/>
    </row>
    <row r="565" spans="1:2" ht="31.5" customHeight="1" x14ac:dyDescent="0.25">
      <c r="A565" s="755" t="s">
        <v>637</v>
      </c>
      <c r="B565" s="755"/>
    </row>
    <row r="566" spans="1:2" ht="17.100000000000001" customHeight="1" x14ac:dyDescent="0.25">
      <c r="A566" s="748"/>
      <c r="B566" s="748"/>
    </row>
    <row r="567" spans="1:2" ht="17.100000000000001" customHeight="1" x14ac:dyDescent="0.25">
      <c r="A567" s="748"/>
      <c r="B567" s="748"/>
    </row>
    <row r="568" spans="1:2" ht="17.100000000000001" customHeight="1" x14ac:dyDescent="0.25">
      <c r="A568" s="748"/>
      <c r="B568" s="748"/>
    </row>
    <row r="569" spans="1:2" ht="17.100000000000001" customHeight="1" x14ac:dyDescent="0.25">
      <c r="A569" s="748"/>
      <c r="B569" s="748"/>
    </row>
    <row r="570" spans="1:2" ht="17.100000000000001" customHeight="1" x14ac:dyDescent="0.25">
      <c r="A570" s="748"/>
      <c r="B570" s="748"/>
    </row>
    <row r="571" spans="1:2" ht="17.100000000000001" customHeight="1" x14ac:dyDescent="0.25">
      <c r="A571" s="748"/>
      <c r="B571" s="748"/>
    </row>
    <row r="572" spans="1:2" ht="17.100000000000001" customHeight="1" x14ac:dyDescent="0.25">
      <c r="A572" s="748"/>
      <c r="B572" s="748"/>
    </row>
    <row r="573" spans="1:2" ht="17.100000000000001" customHeight="1" x14ac:dyDescent="0.25">
      <c r="A573" s="748"/>
      <c r="B573" s="748"/>
    </row>
    <row r="574" spans="1:2" ht="17.100000000000001" customHeight="1" x14ac:dyDescent="0.25">
      <c r="A574" s="748"/>
      <c r="B574" s="748"/>
    </row>
    <row r="575" spans="1:2" ht="17.100000000000001" customHeight="1" x14ac:dyDescent="0.25">
      <c r="A575" s="748"/>
      <c r="B575" s="748"/>
    </row>
    <row r="576" spans="1:2" ht="17.100000000000001" customHeight="1" x14ac:dyDescent="0.25">
      <c r="A576" s="748"/>
      <c r="B576" s="748"/>
    </row>
    <row r="577" spans="1:2" ht="17.100000000000001" customHeight="1" x14ac:dyDescent="0.25">
      <c r="A577" s="748"/>
      <c r="B577" s="748"/>
    </row>
    <row r="578" spans="1:2" ht="17.100000000000001" customHeight="1" x14ac:dyDescent="0.25">
      <c r="A578" s="748"/>
      <c r="B578" s="748"/>
    </row>
    <row r="579" spans="1:2" ht="17.100000000000001" customHeight="1" x14ac:dyDescent="0.25">
      <c r="A579" s="748"/>
      <c r="B579" s="748"/>
    </row>
    <row r="580" spans="1:2" ht="17.100000000000001" customHeight="1" x14ac:dyDescent="0.25">
      <c r="A580" s="748"/>
      <c r="B580" s="748"/>
    </row>
    <row r="581" spans="1:2" ht="17.100000000000001" customHeight="1" x14ac:dyDescent="0.25">
      <c r="A581" s="749"/>
      <c r="B581" s="749"/>
    </row>
    <row r="582" spans="1:2" ht="17.100000000000001" hidden="1" customHeight="1" x14ac:dyDescent="0.25">
      <c r="A582" s="538"/>
      <c r="B582" s="538"/>
    </row>
    <row r="583" spans="1:2" ht="17.100000000000001" hidden="1" customHeight="1" x14ac:dyDescent="0.25">
      <c r="A583" s="538"/>
      <c r="B583" s="538"/>
    </row>
    <row r="584" spans="1:2" ht="17.100000000000001" hidden="1" customHeight="1" x14ac:dyDescent="0.25">
      <c r="A584" s="538"/>
      <c r="B584" s="538"/>
    </row>
    <row r="585" spans="1:2" ht="17.100000000000001" hidden="1" customHeight="1" x14ac:dyDescent="0.25">
      <c r="A585" s="540" t="s">
        <v>527</v>
      </c>
      <c r="B585" s="530"/>
    </row>
    <row r="586" spans="1:2" ht="17.100000000000001" hidden="1" customHeight="1" x14ac:dyDescent="0.25">
      <c r="A586" s="541" t="s">
        <v>238</v>
      </c>
      <c r="B586" s="555" t="s">
        <v>214</v>
      </c>
    </row>
    <row r="587" spans="1:2" ht="39.4" hidden="1" customHeight="1" x14ac:dyDescent="0.25">
      <c r="A587" s="544" t="s">
        <v>237</v>
      </c>
      <c r="B587" s="543">
        <f>+'DONNEES QUANTITATIVES'!DR5</f>
        <v>15</v>
      </c>
    </row>
    <row r="588" spans="1:2" ht="36.6" hidden="1" customHeight="1" x14ac:dyDescent="0.25">
      <c r="A588" s="563" t="s">
        <v>279</v>
      </c>
      <c r="B588" s="561">
        <f>COUNTIF('DONNEES QUANTITATIVES'!DU13:DU27,"&gt;50%")/'DONNEES QUANTITATIVES'!DU5</f>
        <v>0.8666666666666667</v>
      </c>
    </row>
    <row r="589" spans="1:2" ht="36" hidden="1" customHeight="1" x14ac:dyDescent="0.25">
      <c r="A589" s="544" t="s">
        <v>236</v>
      </c>
      <c r="B589" s="546">
        <f>+'DONNEES QUANTITATIVES'!DU10</f>
        <v>0.77453864080041479</v>
      </c>
    </row>
    <row r="590" spans="1:2" ht="17.100000000000001" hidden="1" customHeight="1" x14ac:dyDescent="0.25">
      <c r="A590" s="564"/>
      <c r="B590" s="564"/>
    </row>
    <row r="591" spans="1:2" ht="17.100000000000001" hidden="1" customHeight="1" x14ac:dyDescent="0.25">
      <c r="A591" s="564"/>
      <c r="B591" s="564"/>
    </row>
    <row r="592" spans="1:2" ht="17.100000000000001" hidden="1" customHeight="1" x14ac:dyDescent="0.25">
      <c r="A592" s="564"/>
      <c r="B592" s="564"/>
    </row>
    <row r="593" spans="1:2" ht="17.100000000000001" hidden="1" customHeight="1" x14ac:dyDescent="0.25">
      <c r="A593" s="564"/>
      <c r="B593" s="564"/>
    </row>
    <row r="594" spans="1:2" ht="17.100000000000001" hidden="1" customHeight="1" x14ac:dyDescent="0.25">
      <c r="A594" s="564"/>
      <c r="B594" s="564"/>
    </row>
    <row r="595" spans="1:2" ht="17.100000000000001" hidden="1" customHeight="1" x14ac:dyDescent="0.25">
      <c r="A595" s="564"/>
      <c r="B595" s="564"/>
    </row>
    <row r="596" spans="1:2" ht="17.100000000000001" customHeight="1" x14ac:dyDescent="0.25">
      <c r="A596" s="530"/>
      <c r="B596" s="530"/>
    </row>
    <row r="597" spans="1:2" ht="17.100000000000001" customHeight="1" x14ac:dyDescent="0.25">
      <c r="A597" s="530"/>
      <c r="B597" s="530"/>
    </row>
    <row r="598" spans="1:2" ht="17.100000000000001" customHeight="1" x14ac:dyDescent="0.25">
      <c r="A598" s="758" t="s">
        <v>274</v>
      </c>
      <c r="B598" s="758"/>
    </row>
    <row r="599" spans="1:2" ht="17.100000000000001" customHeight="1" x14ac:dyDescent="0.25">
      <c r="A599" s="760" t="s">
        <v>528</v>
      </c>
      <c r="B599" s="760"/>
    </row>
    <row r="600" spans="1:2" ht="17.100000000000001" customHeight="1" x14ac:dyDescent="0.25">
      <c r="A600" s="538"/>
      <c r="B600" s="538"/>
    </row>
    <row r="601" spans="1:2" ht="17.100000000000001" customHeight="1" x14ac:dyDescent="0.25">
      <c r="A601" s="538"/>
      <c r="B601" s="538"/>
    </row>
    <row r="602" spans="1:2" ht="17.100000000000001" customHeight="1" x14ac:dyDescent="0.25">
      <c r="A602" s="538"/>
      <c r="B602" s="538"/>
    </row>
    <row r="603" spans="1:2" ht="17.100000000000001" customHeight="1" x14ac:dyDescent="0.25">
      <c r="A603" s="538"/>
      <c r="B603" s="538"/>
    </row>
    <row r="604" spans="1:2" ht="17.100000000000001" customHeight="1" x14ac:dyDescent="0.25">
      <c r="A604" s="538"/>
      <c r="B604" s="538"/>
    </row>
    <row r="605" spans="1:2" ht="17.100000000000001" customHeight="1" x14ac:dyDescent="0.25">
      <c r="A605" s="538"/>
      <c r="B605" s="538"/>
    </row>
    <row r="606" spans="1:2" ht="17.100000000000001" customHeight="1" x14ac:dyDescent="0.25">
      <c r="A606" s="538"/>
      <c r="B606" s="538"/>
    </row>
    <row r="607" spans="1:2" ht="17.100000000000001" customHeight="1" x14ac:dyDescent="0.25">
      <c r="A607" s="538"/>
      <c r="B607" s="538"/>
    </row>
    <row r="608" spans="1:2" ht="17.100000000000001" customHeight="1" x14ac:dyDescent="0.25">
      <c r="A608" s="538"/>
      <c r="B608" s="538"/>
    </row>
    <row r="609" spans="1:2" ht="17.100000000000001" customHeight="1" x14ac:dyDescent="0.25">
      <c r="A609" s="538"/>
      <c r="B609" s="538"/>
    </row>
    <row r="610" spans="1:2" ht="17.100000000000001" customHeight="1" x14ac:dyDescent="0.25">
      <c r="A610" s="538"/>
      <c r="B610" s="538"/>
    </row>
    <row r="611" spans="1:2" ht="17.100000000000001" customHeight="1" x14ac:dyDescent="0.25">
      <c r="A611" s="538"/>
      <c r="B611" s="538"/>
    </row>
    <row r="612" spans="1:2" ht="17.100000000000001" customHeight="1" x14ac:dyDescent="0.25">
      <c r="A612" s="538"/>
      <c r="B612" s="538"/>
    </row>
    <row r="613" spans="1:2" ht="17.100000000000001" customHeight="1" x14ac:dyDescent="0.25">
      <c r="A613" s="538"/>
      <c r="B613" s="538"/>
    </row>
    <row r="614" spans="1:2" ht="17.100000000000001" customHeight="1" x14ac:dyDescent="0.25">
      <c r="A614" s="538"/>
      <c r="B614" s="538"/>
    </row>
    <row r="615" spans="1:2" ht="17.100000000000001" customHeight="1" x14ac:dyDescent="0.25">
      <c r="A615" s="536" t="s">
        <v>570</v>
      </c>
      <c r="B615" s="528" t="s">
        <v>568</v>
      </c>
    </row>
    <row r="616" spans="1:2" ht="17.100000000000001" customHeight="1" x14ac:dyDescent="0.25">
      <c r="A616" s="536" t="s">
        <v>571</v>
      </c>
      <c r="B616" s="528" t="s">
        <v>569</v>
      </c>
    </row>
    <row r="617" spans="1:2" ht="17.100000000000001" customHeight="1" x14ac:dyDescent="0.25">
      <c r="A617" s="536" t="s">
        <v>572</v>
      </c>
      <c r="B617" s="528" t="s">
        <v>573</v>
      </c>
    </row>
    <row r="618" spans="1:2" ht="17.100000000000001" customHeight="1" x14ac:dyDescent="0.25">
      <c r="A618" s="538"/>
      <c r="B618" s="538"/>
    </row>
    <row r="619" spans="1:2" ht="17.100000000000001" customHeight="1" x14ac:dyDescent="0.25">
      <c r="A619" s="538"/>
      <c r="B619" s="538"/>
    </row>
    <row r="620" spans="1:2" ht="17.100000000000001" customHeight="1" x14ac:dyDescent="0.25">
      <c r="A620" s="538"/>
      <c r="B620" s="538"/>
    </row>
    <row r="621" spans="1:2" ht="17.100000000000001" customHeight="1" x14ac:dyDescent="0.25">
      <c r="A621" s="538"/>
      <c r="B621" s="538"/>
    </row>
    <row r="622" spans="1:2" ht="17.100000000000001" customHeight="1" x14ac:dyDescent="0.25">
      <c r="A622" s="538"/>
      <c r="B622" s="538"/>
    </row>
    <row r="623" spans="1:2" ht="17.100000000000001" customHeight="1" x14ac:dyDescent="0.25">
      <c r="A623" s="538"/>
      <c r="B623" s="538"/>
    </row>
    <row r="624" spans="1:2" ht="17.100000000000001" customHeight="1" x14ac:dyDescent="0.25">
      <c r="A624" s="538"/>
      <c r="B624" s="538"/>
    </row>
    <row r="625" spans="1:2" ht="17.100000000000001" customHeight="1" x14ac:dyDescent="0.25">
      <c r="A625" s="538"/>
      <c r="B625" s="538"/>
    </row>
    <row r="626" spans="1:2" ht="17.100000000000001" customHeight="1" x14ac:dyDescent="0.25">
      <c r="A626" s="538"/>
      <c r="B626" s="538"/>
    </row>
    <row r="627" spans="1:2" ht="17.100000000000001" customHeight="1" x14ac:dyDescent="0.25">
      <c r="A627" s="538"/>
      <c r="B627" s="538"/>
    </row>
    <row r="628" spans="1:2" ht="17.100000000000001" customHeight="1" x14ac:dyDescent="0.25">
      <c r="A628" s="538"/>
      <c r="B628" s="538"/>
    </row>
    <row r="629" spans="1:2" ht="17.100000000000001" customHeight="1" x14ac:dyDescent="0.25">
      <c r="A629" s="538"/>
      <c r="B629" s="538"/>
    </row>
    <row r="630" spans="1:2" ht="17.100000000000001" customHeight="1" x14ac:dyDescent="0.25">
      <c r="A630" s="538"/>
      <c r="B630" s="538"/>
    </row>
    <row r="631" spans="1:2" ht="17.100000000000001" customHeight="1" x14ac:dyDescent="0.25">
      <c r="A631" s="538"/>
      <c r="B631" s="538"/>
    </row>
    <row r="632" spans="1:2" ht="17.100000000000001" customHeight="1" x14ac:dyDescent="0.25">
      <c r="A632" s="538"/>
      <c r="B632" s="538"/>
    </row>
    <row r="633" spans="1:2" ht="17.100000000000001" customHeight="1" x14ac:dyDescent="0.25">
      <c r="A633" s="538"/>
      <c r="B633" s="538"/>
    </row>
    <row r="634" spans="1:2" ht="17.100000000000001" customHeight="1" x14ac:dyDescent="0.25">
      <c r="A634" s="756" t="s">
        <v>580</v>
      </c>
      <c r="B634" s="756"/>
    </row>
    <row r="635" spans="1:2" ht="17.100000000000001" customHeight="1" x14ac:dyDescent="0.25">
      <c r="A635" s="539" t="s">
        <v>576</v>
      </c>
      <c r="B635" s="530"/>
    </row>
    <row r="636" spans="1:2" ht="17.100000000000001" customHeight="1" x14ac:dyDescent="0.25">
      <c r="A636" s="757" t="s">
        <v>577</v>
      </c>
      <c r="B636" s="757"/>
    </row>
    <row r="637" spans="1:2" ht="17.100000000000001" customHeight="1" x14ac:dyDescent="0.25">
      <c r="A637" s="534" t="s">
        <v>578</v>
      </c>
      <c r="B637" s="530"/>
    </row>
    <row r="638" spans="1:2" ht="17.100000000000001" customHeight="1" x14ac:dyDescent="0.25">
      <c r="A638" s="750" t="s">
        <v>676</v>
      </c>
      <c r="B638" s="751"/>
    </row>
    <row r="639" spans="1:2" ht="17.100000000000001" customHeight="1" x14ac:dyDescent="0.25">
      <c r="A639" s="759" t="s">
        <v>679</v>
      </c>
      <c r="B639" s="753"/>
    </row>
    <row r="640" spans="1:2" ht="17.100000000000001" customHeight="1" x14ac:dyDescent="0.25">
      <c r="A640" s="752" t="s">
        <v>678</v>
      </c>
      <c r="B640" s="753"/>
    </row>
    <row r="641" spans="1:2" ht="17.100000000000001" customHeight="1" x14ac:dyDescent="0.25">
      <c r="A641" s="752" t="s">
        <v>681</v>
      </c>
      <c r="B641" s="753"/>
    </row>
    <row r="642" spans="1:2" ht="17.100000000000001" customHeight="1" x14ac:dyDescent="0.25">
      <c r="A642" s="752" t="s">
        <v>682</v>
      </c>
      <c r="B642" s="753"/>
    </row>
    <row r="643" spans="1:2" ht="17.100000000000001" customHeight="1" x14ac:dyDescent="0.25">
      <c r="A643" s="752" t="s">
        <v>786</v>
      </c>
      <c r="B643" s="753"/>
    </row>
    <row r="644" spans="1:2" ht="20.25" customHeight="1" x14ac:dyDescent="0.25">
      <c r="A644" s="754" t="s">
        <v>638</v>
      </c>
      <c r="B644" s="754"/>
    </row>
    <row r="645" spans="1:2" ht="17.100000000000001" customHeight="1" x14ac:dyDescent="0.25">
      <c r="A645" s="748"/>
      <c r="B645" s="748"/>
    </row>
    <row r="646" spans="1:2" ht="17.100000000000001" customHeight="1" x14ac:dyDescent="0.25">
      <c r="A646" s="748"/>
      <c r="B646" s="748"/>
    </row>
    <row r="647" spans="1:2" ht="17.100000000000001" customHeight="1" x14ac:dyDescent="0.25">
      <c r="A647" s="748"/>
      <c r="B647" s="748"/>
    </row>
    <row r="648" spans="1:2" ht="17.100000000000001" customHeight="1" x14ac:dyDescent="0.25">
      <c r="A648" s="748"/>
      <c r="B648" s="748"/>
    </row>
    <row r="649" spans="1:2" ht="17.100000000000001" customHeight="1" x14ac:dyDescent="0.25">
      <c r="A649" s="748"/>
      <c r="B649" s="748"/>
    </row>
    <row r="650" spans="1:2" ht="17.100000000000001" customHeight="1" x14ac:dyDescent="0.25">
      <c r="A650" s="748"/>
      <c r="B650" s="748"/>
    </row>
    <row r="651" spans="1:2" ht="17.100000000000001" customHeight="1" x14ac:dyDescent="0.25">
      <c r="A651" s="748"/>
      <c r="B651" s="748"/>
    </row>
    <row r="652" spans="1:2" ht="17.100000000000001" customHeight="1" x14ac:dyDescent="0.25">
      <c r="A652" s="748"/>
      <c r="B652" s="748"/>
    </row>
    <row r="653" spans="1:2" ht="17.100000000000001" customHeight="1" x14ac:dyDescent="0.25">
      <c r="A653" s="748"/>
      <c r="B653" s="748"/>
    </row>
    <row r="654" spans="1:2" ht="17.100000000000001" customHeight="1" x14ac:dyDescent="0.25">
      <c r="A654" s="748"/>
      <c r="B654" s="748"/>
    </row>
    <row r="655" spans="1:2" ht="17.100000000000001" customHeight="1" x14ac:dyDescent="0.25">
      <c r="A655" s="748"/>
      <c r="B655" s="748"/>
    </row>
    <row r="656" spans="1:2" ht="17.100000000000001" customHeight="1" x14ac:dyDescent="0.25">
      <c r="A656" s="748"/>
      <c r="B656" s="748"/>
    </row>
    <row r="657" spans="1:2" ht="17.100000000000001" customHeight="1" x14ac:dyDescent="0.25">
      <c r="A657" s="748"/>
      <c r="B657" s="748"/>
    </row>
    <row r="658" spans="1:2" ht="17.100000000000001" customHeight="1" x14ac:dyDescent="0.25">
      <c r="A658" s="748"/>
      <c r="B658" s="748"/>
    </row>
    <row r="659" spans="1:2" ht="17.100000000000001" customHeight="1" x14ac:dyDescent="0.25">
      <c r="A659" s="748"/>
      <c r="B659" s="748"/>
    </row>
    <row r="660" spans="1:2" ht="17.100000000000001" customHeight="1" x14ac:dyDescent="0.25">
      <c r="A660" s="748"/>
      <c r="B660" s="748"/>
    </row>
    <row r="661" spans="1:2" ht="17.100000000000001" customHeight="1" x14ac:dyDescent="0.25">
      <c r="A661" s="530"/>
      <c r="B661" s="530"/>
    </row>
    <row r="662" spans="1:2" ht="36.6" customHeight="1" x14ac:dyDescent="0.25">
      <c r="A662" s="755" t="s">
        <v>637</v>
      </c>
      <c r="B662" s="755"/>
    </row>
    <row r="663" spans="1:2" ht="17.100000000000001" customHeight="1" x14ac:dyDescent="0.25">
      <c r="A663" s="748"/>
      <c r="B663" s="748"/>
    </row>
    <row r="664" spans="1:2" ht="17.100000000000001" customHeight="1" x14ac:dyDescent="0.25">
      <c r="A664" s="748"/>
      <c r="B664" s="748"/>
    </row>
    <row r="665" spans="1:2" ht="17.100000000000001" customHeight="1" x14ac:dyDescent="0.25">
      <c r="A665" s="748"/>
      <c r="B665" s="748"/>
    </row>
    <row r="666" spans="1:2" ht="17.100000000000001" customHeight="1" x14ac:dyDescent="0.25">
      <c r="A666" s="748"/>
      <c r="B666" s="748"/>
    </row>
    <row r="667" spans="1:2" ht="17.100000000000001" customHeight="1" x14ac:dyDescent="0.25">
      <c r="A667" s="748"/>
      <c r="B667" s="748"/>
    </row>
    <row r="668" spans="1:2" ht="17.100000000000001" customHeight="1" x14ac:dyDescent="0.25">
      <c r="A668" s="748"/>
      <c r="B668" s="748"/>
    </row>
    <row r="669" spans="1:2" ht="17.100000000000001" customHeight="1" x14ac:dyDescent="0.25">
      <c r="A669" s="748"/>
      <c r="B669" s="748"/>
    </row>
    <row r="670" spans="1:2" ht="17.100000000000001" customHeight="1" x14ac:dyDescent="0.25">
      <c r="A670" s="748"/>
      <c r="B670" s="748"/>
    </row>
    <row r="671" spans="1:2" ht="17.100000000000001" customHeight="1" x14ac:dyDescent="0.25">
      <c r="A671" s="748"/>
      <c r="B671" s="748"/>
    </row>
    <row r="672" spans="1:2" ht="17.100000000000001" customHeight="1" x14ac:dyDescent="0.25">
      <c r="A672" s="748"/>
      <c r="B672" s="748"/>
    </row>
    <row r="673" spans="1:2" ht="17.100000000000001" customHeight="1" x14ac:dyDescent="0.25">
      <c r="A673" s="748"/>
      <c r="B673" s="748"/>
    </row>
    <row r="674" spans="1:2" ht="17.100000000000001" customHeight="1" x14ac:dyDescent="0.25">
      <c r="A674" s="748"/>
      <c r="B674" s="748"/>
    </row>
    <row r="675" spans="1:2" ht="17.100000000000001" customHeight="1" x14ac:dyDescent="0.25">
      <c r="A675" s="748"/>
      <c r="B675" s="748"/>
    </row>
    <row r="676" spans="1:2" ht="17.100000000000001" customHeight="1" x14ac:dyDescent="0.25">
      <c r="A676" s="748"/>
      <c r="B676" s="748"/>
    </row>
    <row r="677" spans="1:2" ht="17.100000000000001" customHeight="1" x14ac:dyDescent="0.25">
      <c r="A677" s="748"/>
      <c r="B677" s="748"/>
    </row>
    <row r="678" spans="1:2" ht="17.100000000000001" customHeight="1" x14ac:dyDescent="0.25">
      <c r="A678" s="749"/>
      <c r="B678" s="749"/>
    </row>
    <row r="679" spans="1:2" ht="17.100000000000001" customHeight="1" x14ac:dyDescent="0.25">
      <c r="A679" s="530"/>
      <c r="B679" s="530"/>
    </row>
    <row r="680" spans="1:2" ht="17.100000000000001" hidden="1" customHeight="1" x14ac:dyDescent="0.25">
      <c r="A680" s="538"/>
      <c r="B680" s="538"/>
    </row>
    <row r="681" spans="1:2" ht="17.100000000000001" hidden="1" customHeight="1" x14ac:dyDescent="0.25">
      <c r="A681" s="540" t="s">
        <v>529</v>
      </c>
      <c r="B681" s="530"/>
    </row>
    <row r="682" spans="1:2" ht="17.100000000000001" hidden="1" customHeight="1" x14ac:dyDescent="0.25">
      <c r="A682" s="541" t="s">
        <v>239</v>
      </c>
      <c r="B682" s="555" t="s">
        <v>214</v>
      </c>
    </row>
    <row r="683" spans="1:2" ht="24.95" hidden="1" customHeight="1" x14ac:dyDescent="0.25">
      <c r="A683" s="544" t="s">
        <v>240</v>
      </c>
      <c r="B683" s="543"/>
    </row>
    <row r="684" spans="1:2" ht="23.65" hidden="1" customHeight="1" x14ac:dyDescent="0.25">
      <c r="A684" s="544" t="s">
        <v>241</v>
      </c>
      <c r="B684" s="543"/>
    </row>
    <row r="685" spans="1:2" ht="17.100000000000001" hidden="1" customHeight="1" x14ac:dyDescent="0.25">
      <c r="A685" s="538"/>
      <c r="B685" s="538"/>
    </row>
    <row r="686" spans="1:2" ht="17.100000000000001" hidden="1" customHeight="1" x14ac:dyDescent="0.25">
      <c r="A686" s="538"/>
      <c r="B686" s="538"/>
    </row>
    <row r="687" spans="1:2" ht="17.100000000000001" customHeight="1" x14ac:dyDescent="0.25">
      <c r="A687" s="538"/>
      <c r="B687" s="538"/>
    </row>
    <row r="688" spans="1:2" ht="17.100000000000001" customHeight="1" x14ac:dyDescent="0.25">
      <c r="A688" s="758" t="s">
        <v>700</v>
      </c>
      <c r="B688" s="758"/>
    </row>
    <row r="689" spans="1:2" ht="17.100000000000001" customHeight="1" x14ac:dyDescent="0.25">
      <c r="A689" s="565" t="s">
        <v>699</v>
      </c>
      <c r="B689" s="566"/>
    </row>
    <row r="690" spans="1:2" ht="17.100000000000001" customHeight="1" x14ac:dyDescent="0.25">
      <c r="A690" s="538"/>
      <c r="B690" s="538"/>
    </row>
    <row r="691" spans="1:2" ht="17.100000000000001" customHeight="1" x14ac:dyDescent="0.25">
      <c r="A691" s="538"/>
      <c r="B691" s="538"/>
    </row>
    <row r="692" spans="1:2" ht="17.100000000000001" customHeight="1" x14ac:dyDescent="0.25">
      <c r="A692" s="538"/>
      <c r="B692" s="538"/>
    </row>
    <row r="693" spans="1:2" ht="17.100000000000001" customHeight="1" x14ac:dyDescent="0.25">
      <c r="A693" s="538"/>
      <c r="B693" s="538"/>
    </row>
    <row r="694" spans="1:2" ht="17.100000000000001" customHeight="1" x14ac:dyDescent="0.25">
      <c r="A694" s="538"/>
      <c r="B694" s="538"/>
    </row>
    <row r="695" spans="1:2" ht="17.100000000000001" customHeight="1" x14ac:dyDescent="0.25">
      <c r="A695" s="538"/>
      <c r="B695" s="538"/>
    </row>
    <row r="696" spans="1:2" ht="17.100000000000001" customHeight="1" x14ac:dyDescent="0.25">
      <c r="A696" s="538"/>
      <c r="B696" s="538"/>
    </row>
    <row r="697" spans="1:2" ht="17.100000000000001" customHeight="1" x14ac:dyDescent="0.25">
      <c r="A697" s="538"/>
      <c r="B697" s="538"/>
    </row>
    <row r="698" spans="1:2" ht="17.100000000000001" customHeight="1" x14ac:dyDescent="0.25">
      <c r="A698" s="538"/>
      <c r="B698" s="538"/>
    </row>
    <row r="699" spans="1:2" ht="17.100000000000001" customHeight="1" x14ac:dyDescent="0.25">
      <c r="A699" s="538"/>
      <c r="B699" s="538"/>
    </row>
    <row r="700" spans="1:2" ht="17.100000000000001" customHeight="1" x14ac:dyDescent="0.25">
      <c r="A700" s="538"/>
      <c r="B700" s="538"/>
    </row>
    <row r="701" spans="1:2" ht="17.100000000000001" customHeight="1" x14ac:dyDescent="0.25">
      <c r="A701" s="538"/>
      <c r="B701" s="538"/>
    </row>
    <row r="702" spans="1:2" ht="17.100000000000001" customHeight="1" x14ac:dyDescent="0.25">
      <c r="A702" s="538"/>
      <c r="B702" s="538"/>
    </row>
    <row r="703" spans="1:2" ht="17.100000000000001" customHeight="1" x14ac:dyDescent="0.25">
      <c r="A703" s="538"/>
      <c r="B703" s="538"/>
    </row>
    <row r="704" spans="1:2" ht="17.100000000000001" customHeight="1" x14ac:dyDescent="0.25">
      <c r="A704" s="536" t="s">
        <v>570</v>
      </c>
      <c r="B704" s="528" t="s">
        <v>568</v>
      </c>
    </row>
    <row r="705" spans="1:2" ht="17.100000000000001" customHeight="1" x14ac:dyDescent="0.25">
      <c r="A705" s="536" t="s">
        <v>571</v>
      </c>
      <c r="B705" s="528" t="s">
        <v>569</v>
      </c>
    </row>
    <row r="706" spans="1:2" ht="17.100000000000001" customHeight="1" x14ac:dyDescent="0.25">
      <c r="A706" s="536" t="s">
        <v>572</v>
      </c>
      <c r="B706" s="528" t="s">
        <v>573</v>
      </c>
    </row>
    <row r="707" spans="1:2" ht="17.100000000000001" customHeight="1" x14ac:dyDescent="0.25">
      <c r="A707" s="538"/>
      <c r="B707" s="538"/>
    </row>
    <row r="708" spans="1:2" ht="17.100000000000001" customHeight="1" x14ac:dyDescent="0.25">
      <c r="A708" s="538"/>
      <c r="B708" s="538"/>
    </row>
    <row r="709" spans="1:2" ht="17.100000000000001" customHeight="1" x14ac:dyDescent="0.25">
      <c r="A709" s="538"/>
      <c r="B709" s="538"/>
    </row>
    <row r="710" spans="1:2" ht="17.100000000000001" customHeight="1" x14ac:dyDescent="0.25">
      <c r="A710" s="538"/>
      <c r="B710" s="538"/>
    </row>
    <row r="711" spans="1:2" ht="17.100000000000001" customHeight="1" x14ac:dyDescent="0.25">
      <c r="A711" s="538"/>
      <c r="B711" s="538"/>
    </row>
    <row r="712" spans="1:2" ht="17.100000000000001" customHeight="1" x14ac:dyDescent="0.25">
      <c r="A712" s="538"/>
      <c r="B712" s="538"/>
    </row>
    <row r="713" spans="1:2" ht="17.100000000000001" customHeight="1" x14ac:dyDescent="0.25">
      <c r="A713" s="538"/>
      <c r="B713" s="538"/>
    </row>
    <row r="714" spans="1:2" ht="17.100000000000001" customHeight="1" x14ac:dyDescent="0.25">
      <c r="A714" s="538"/>
      <c r="B714" s="538"/>
    </row>
    <row r="715" spans="1:2" ht="17.100000000000001" customHeight="1" x14ac:dyDescent="0.25">
      <c r="A715" s="538"/>
      <c r="B715" s="538"/>
    </row>
    <row r="716" spans="1:2" ht="17.100000000000001" customHeight="1" x14ac:dyDescent="0.25">
      <c r="A716" s="538"/>
      <c r="B716" s="538"/>
    </row>
    <row r="717" spans="1:2" ht="17.100000000000001" customHeight="1" x14ac:dyDescent="0.25">
      <c r="A717" s="538"/>
      <c r="B717" s="538"/>
    </row>
    <row r="718" spans="1:2" ht="17.100000000000001" customHeight="1" x14ac:dyDescent="0.25">
      <c r="A718" s="538"/>
      <c r="B718" s="538"/>
    </row>
    <row r="719" spans="1:2" ht="17.100000000000001" customHeight="1" x14ac:dyDescent="0.25">
      <c r="A719" s="538"/>
      <c r="B719" s="538"/>
    </row>
    <row r="720" spans="1:2" ht="17.100000000000001" customHeight="1" x14ac:dyDescent="0.25">
      <c r="A720" s="538"/>
      <c r="B720" s="538"/>
    </row>
    <row r="721" spans="1:2" ht="17.100000000000001" customHeight="1" x14ac:dyDescent="0.25">
      <c r="A721" s="538"/>
      <c r="B721" s="538"/>
    </row>
    <row r="722" spans="1:2" ht="17.100000000000001" customHeight="1" x14ac:dyDescent="0.25">
      <c r="A722" s="756" t="s">
        <v>580</v>
      </c>
      <c r="B722" s="756"/>
    </row>
    <row r="723" spans="1:2" ht="17.100000000000001" customHeight="1" x14ac:dyDescent="0.25">
      <c r="A723" s="539" t="s">
        <v>576</v>
      </c>
      <c r="B723" s="530"/>
    </row>
    <row r="724" spans="1:2" ht="17.100000000000001" customHeight="1" x14ac:dyDescent="0.25">
      <c r="A724" s="757" t="s">
        <v>577</v>
      </c>
      <c r="B724" s="757"/>
    </row>
    <row r="725" spans="1:2" ht="17.100000000000001" customHeight="1" x14ac:dyDescent="0.25">
      <c r="A725" s="534" t="s">
        <v>578</v>
      </c>
      <c r="B725" s="530"/>
    </row>
    <row r="726" spans="1:2" ht="17.100000000000001" customHeight="1" x14ac:dyDescent="0.25">
      <c r="A726" s="750" t="s">
        <v>676</v>
      </c>
      <c r="B726" s="751"/>
    </row>
    <row r="727" spans="1:2" ht="17.100000000000001" customHeight="1" x14ac:dyDescent="0.25">
      <c r="A727" s="752" t="s">
        <v>677</v>
      </c>
      <c r="B727" s="753"/>
    </row>
    <row r="728" spans="1:2" ht="17.100000000000001" customHeight="1" x14ac:dyDescent="0.25">
      <c r="A728" s="530"/>
      <c r="B728" s="530"/>
    </row>
    <row r="729" spans="1:2" ht="17.100000000000001" customHeight="1" x14ac:dyDescent="0.25">
      <c r="A729" s="530"/>
      <c r="B729" s="530"/>
    </row>
    <row r="730" spans="1:2" ht="17.100000000000001" customHeight="1" x14ac:dyDescent="0.25">
      <c r="A730" s="530"/>
      <c r="B730" s="530"/>
    </row>
    <row r="731" spans="1:2" ht="17.100000000000001" customHeight="1" x14ac:dyDescent="0.25">
      <c r="A731" s="530"/>
      <c r="B731" s="530"/>
    </row>
    <row r="732" spans="1:2" ht="17.100000000000001" customHeight="1" x14ac:dyDescent="0.25">
      <c r="A732" s="530"/>
      <c r="B732" s="530"/>
    </row>
    <row r="733" spans="1:2" ht="17.100000000000001" customHeight="1" x14ac:dyDescent="0.25">
      <c r="A733" s="530"/>
      <c r="B733" s="530"/>
    </row>
    <row r="734" spans="1:2" ht="17.100000000000001" customHeight="1" x14ac:dyDescent="0.25">
      <c r="A734" s="530"/>
      <c r="B734" s="530"/>
    </row>
    <row r="735" spans="1:2" ht="28.15" customHeight="1" x14ac:dyDescent="0.25">
      <c r="A735" s="754" t="s">
        <v>638</v>
      </c>
      <c r="B735" s="754"/>
    </row>
    <row r="736" spans="1:2" ht="17.100000000000001" customHeight="1" x14ac:dyDescent="0.25">
      <c r="A736" s="748"/>
      <c r="B736" s="748"/>
    </row>
    <row r="737" spans="1:2" ht="17.100000000000001" customHeight="1" x14ac:dyDescent="0.25">
      <c r="A737" s="748"/>
      <c r="B737" s="748"/>
    </row>
    <row r="738" spans="1:2" ht="17.100000000000001" customHeight="1" x14ac:dyDescent="0.25">
      <c r="A738" s="748"/>
      <c r="B738" s="748"/>
    </row>
    <row r="739" spans="1:2" ht="17.100000000000001" customHeight="1" x14ac:dyDescent="0.25">
      <c r="A739" s="748"/>
      <c r="B739" s="748"/>
    </row>
    <row r="740" spans="1:2" ht="17.100000000000001" customHeight="1" x14ac:dyDescent="0.25">
      <c r="A740" s="748"/>
      <c r="B740" s="748"/>
    </row>
    <row r="741" spans="1:2" ht="17.100000000000001" customHeight="1" x14ac:dyDescent="0.25">
      <c r="A741" s="748"/>
      <c r="B741" s="748"/>
    </row>
    <row r="742" spans="1:2" ht="17.100000000000001" customHeight="1" x14ac:dyDescent="0.25">
      <c r="A742" s="748"/>
      <c r="B742" s="748"/>
    </row>
    <row r="743" spans="1:2" ht="17.100000000000001" customHeight="1" x14ac:dyDescent="0.25">
      <c r="A743" s="748"/>
      <c r="B743" s="748"/>
    </row>
    <row r="744" spans="1:2" ht="17.100000000000001" customHeight="1" x14ac:dyDescent="0.25">
      <c r="A744" s="748"/>
      <c r="B744" s="748"/>
    </row>
    <row r="745" spans="1:2" ht="17.100000000000001" customHeight="1" x14ac:dyDescent="0.25">
      <c r="A745" s="748"/>
      <c r="B745" s="748"/>
    </row>
    <row r="746" spans="1:2" ht="17.100000000000001" customHeight="1" x14ac:dyDescent="0.25">
      <c r="A746" s="748"/>
      <c r="B746" s="748"/>
    </row>
    <row r="747" spans="1:2" ht="17.100000000000001" customHeight="1" x14ac:dyDescent="0.25">
      <c r="A747" s="748"/>
      <c r="B747" s="748"/>
    </row>
    <row r="748" spans="1:2" ht="17.100000000000001" customHeight="1" x14ac:dyDescent="0.25">
      <c r="A748" s="748"/>
      <c r="B748" s="748"/>
    </row>
    <row r="749" spans="1:2" ht="17.100000000000001" customHeight="1" x14ac:dyDescent="0.25">
      <c r="A749" s="748"/>
      <c r="B749" s="748"/>
    </row>
    <row r="750" spans="1:2" ht="17.100000000000001" customHeight="1" x14ac:dyDescent="0.25">
      <c r="A750" s="748"/>
      <c r="B750" s="748"/>
    </row>
    <row r="751" spans="1:2" ht="17.100000000000001" customHeight="1" x14ac:dyDescent="0.25">
      <c r="A751" s="748"/>
      <c r="B751" s="748"/>
    </row>
    <row r="752" spans="1:2" ht="17.100000000000001" customHeight="1" x14ac:dyDescent="0.25">
      <c r="A752" s="748"/>
      <c r="B752" s="748"/>
    </row>
    <row r="753" spans="1:2" ht="17.100000000000001" customHeight="1" x14ac:dyDescent="0.25">
      <c r="A753" s="748"/>
      <c r="B753" s="748"/>
    </row>
    <row r="754" spans="1:2" ht="17.100000000000001" customHeight="1" x14ac:dyDescent="0.25">
      <c r="A754" s="749"/>
      <c r="B754" s="749"/>
    </row>
    <row r="755" spans="1:2" ht="17.100000000000001" customHeight="1" x14ac:dyDescent="0.25">
      <c r="A755" s="530"/>
      <c r="B755" s="530"/>
    </row>
    <row r="756" spans="1:2" ht="39.4" customHeight="1" x14ac:dyDescent="0.25">
      <c r="A756" s="755" t="s">
        <v>637</v>
      </c>
      <c r="B756" s="755"/>
    </row>
    <row r="757" spans="1:2" ht="17.100000000000001" customHeight="1" x14ac:dyDescent="0.25">
      <c r="A757" s="748"/>
      <c r="B757" s="748"/>
    </row>
    <row r="758" spans="1:2" ht="17.100000000000001" customHeight="1" x14ac:dyDescent="0.25">
      <c r="A758" s="748"/>
      <c r="B758" s="748"/>
    </row>
    <row r="759" spans="1:2" ht="17.100000000000001" customHeight="1" x14ac:dyDescent="0.25">
      <c r="A759" s="748"/>
      <c r="B759" s="748"/>
    </row>
    <row r="760" spans="1:2" ht="17.100000000000001" customHeight="1" x14ac:dyDescent="0.25">
      <c r="A760" s="748"/>
      <c r="B760" s="748"/>
    </row>
    <row r="761" spans="1:2" ht="17.100000000000001" customHeight="1" x14ac:dyDescent="0.25">
      <c r="A761" s="748"/>
      <c r="B761" s="748"/>
    </row>
    <row r="762" spans="1:2" ht="17.100000000000001" customHeight="1" x14ac:dyDescent="0.25">
      <c r="A762" s="748"/>
      <c r="B762" s="748"/>
    </row>
    <row r="763" spans="1:2" ht="17.100000000000001" customHeight="1" x14ac:dyDescent="0.25">
      <c r="A763" s="748"/>
      <c r="B763" s="748"/>
    </row>
    <row r="764" spans="1:2" ht="17.100000000000001" customHeight="1" x14ac:dyDescent="0.25">
      <c r="A764" s="748"/>
      <c r="B764" s="748"/>
    </row>
    <row r="765" spans="1:2" ht="17.100000000000001" customHeight="1" x14ac:dyDescent="0.25">
      <c r="A765" s="748"/>
      <c r="B765" s="748"/>
    </row>
    <row r="766" spans="1:2" ht="17.100000000000001" customHeight="1" x14ac:dyDescent="0.25">
      <c r="A766" s="748"/>
      <c r="B766" s="748"/>
    </row>
    <row r="767" spans="1:2" ht="17.100000000000001" customHeight="1" x14ac:dyDescent="0.25">
      <c r="A767" s="748"/>
      <c r="B767" s="748"/>
    </row>
    <row r="768" spans="1:2" ht="17.100000000000001" customHeight="1" x14ac:dyDescent="0.25">
      <c r="A768" s="748"/>
      <c r="B768" s="748"/>
    </row>
    <row r="769" spans="1:2" ht="17.100000000000001" customHeight="1" x14ac:dyDescent="0.25">
      <c r="A769" s="748"/>
      <c r="B769" s="748"/>
    </row>
    <row r="770" spans="1:2" ht="17.100000000000001" customHeight="1" x14ac:dyDescent="0.25">
      <c r="A770" s="748"/>
      <c r="B770" s="748"/>
    </row>
    <row r="771" spans="1:2" ht="17.100000000000001" customHeight="1" x14ac:dyDescent="0.25">
      <c r="A771" s="748"/>
      <c r="B771" s="748"/>
    </row>
    <row r="772" spans="1:2" ht="17.100000000000001" customHeight="1" x14ac:dyDescent="0.25">
      <c r="A772" s="749"/>
      <c r="B772" s="749"/>
    </row>
  </sheetData>
  <sheetProtection password="CC66" sheet="1" objects="1" scenarios="1" formatCells="0" formatRows="0"/>
  <mergeCells count="128">
    <mergeCell ref="A197:B197"/>
    <mergeCell ref="A198:B198"/>
    <mergeCell ref="A27:B27"/>
    <mergeCell ref="A37:B37"/>
    <mergeCell ref="A39:B39"/>
    <mergeCell ref="A48:B48"/>
    <mergeCell ref="A146:B146"/>
    <mergeCell ref="A145:B145"/>
    <mergeCell ref="A40:B40"/>
    <mergeCell ref="A49:B49"/>
    <mergeCell ref="A144:B144"/>
    <mergeCell ref="A81:B81"/>
    <mergeCell ref="A193:B193"/>
    <mergeCell ref="A115:B143"/>
    <mergeCell ref="A32:B32"/>
    <mergeCell ref="A196:B196"/>
    <mergeCell ref="A287:B287"/>
    <mergeCell ref="A329:B329"/>
    <mergeCell ref="A331:B331"/>
    <mergeCell ref="A332:B332"/>
    <mergeCell ref="A333:B333"/>
    <mergeCell ref="A16:B16"/>
    <mergeCell ref="A20:B20"/>
    <mergeCell ref="A163:B163"/>
    <mergeCell ref="A190:B190"/>
    <mergeCell ref="A104:B104"/>
    <mergeCell ref="A107:B107"/>
    <mergeCell ref="A108:B108"/>
    <mergeCell ref="A109:B109"/>
    <mergeCell ref="A110:B110"/>
    <mergeCell ref="A111:B111"/>
    <mergeCell ref="A112:B112"/>
    <mergeCell ref="A33:B33"/>
    <mergeCell ref="A35:B35"/>
    <mergeCell ref="A34:B34"/>
    <mergeCell ref="A36:B36"/>
    <mergeCell ref="A38:B38"/>
    <mergeCell ref="A194:B194"/>
    <mergeCell ref="A195:B195"/>
    <mergeCell ref="A288:B288"/>
    <mergeCell ref="A411:B411"/>
    <mergeCell ref="A412:B412"/>
    <mergeCell ref="A374:B374"/>
    <mergeCell ref="A381:B381"/>
    <mergeCell ref="A385:B385"/>
    <mergeCell ref="A389:B389"/>
    <mergeCell ref="A393:B393"/>
    <mergeCell ref="A336:B349"/>
    <mergeCell ref="A351:B351"/>
    <mergeCell ref="A352:B369"/>
    <mergeCell ref="A15:B15"/>
    <mergeCell ref="A28:B28"/>
    <mergeCell ref="A14:B14"/>
    <mergeCell ref="A12:B12"/>
    <mergeCell ref="A8:B8"/>
    <mergeCell ref="A9:B9"/>
    <mergeCell ref="A10:B10"/>
    <mergeCell ref="A11:B11"/>
    <mergeCell ref="A13:B13"/>
    <mergeCell ref="A26:B26"/>
    <mergeCell ref="A23:B23"/>
    <mergeCell ref="A200:B200"/>
    <mergeCell ref="A201:B220"/>
    <mergeCell ref="A222:B222"/>
    <mergeCell ref="A223:B239"/>
    <mergeCell ref="A335:B335"/>
    <mergeCell ref="A17:B17"/>
    <mergeCell ref="A22:B22"/>
    <mergeCell ref="C1:D1"/>
    <mergeCell ref="C2:D2"/>
    <mergeCell ref="A114:B114"/>
    <mergeCell ref="A24:B24"/>
    <mergeCell ref="A25:B25"/>
    <mergeCell ref="A21:B21"/>
    <mergeCell ref="A18:B18"/>
    <mergeCell ref="A19:B19"/>
    <mergeCell ref="A1:B1"/>
    <mergeCell ref="A4:B4"/>
    <mergeCell ref="A6:B6"/>
    <mergeCell ref="A3:B3"/>
    <mergeCell ref="A5:B5"/>
    <mergeCell ref="A7:B7"/>
    <mergeCell ref="A30:B30"/>
    <mergeCell ref="A29:B29"/>
    <mergeCell ref="A31:B31"/>
    <mergeCell ref="A536:B536"/>
    <mergeCell ref="A538:B538"/>
    <mergeCell ref="A540:B540"/>
    <mergeCell ref="A541:B541"/>
    <mergeCell ref="A542:B542"/>
    <mergeCell ref="A451:B451"/>
    <mergeCell ref="A459:B459"/>
    <mergeCell ref="A460:B473"/>
    <mergeCell ref="A475:B475"/>
    <mergeCell ref="A476:B491"/>
    <mergeCell ref="A502:B502"/>
    <mergeCell ref="A501:B501"/>
    <mergeCell ref="A457:B457"/>
    <mergeCell ref="A456:B456"/>
    <mergeCell ref="A453:B453"/>
    <mergeCell ref="A458:B458"/>
    <mergeCell ref="A636:B636"/>
    <mergeCell ref="A638:B638"/>
    <mergeCell ref="A639:B639"/>
    <mergeCell ref="A640:B640"/>
    <mergeCell ref="A644:B644"/>
    <mergeCell ref="A544:B544"/>
    <mergeCell ref="A545:B563"/>
    <mergeCell ref="A565:B565"/>
    <mergeCell ref="A566:B581"/>
    <mergeCell ref="A634:B634"/>
    <mergeCell ref="A599:B599"/>
    <mergeCell ref="A598:B598"/>
    <mergeCell ref="A641:B641"/>
    <mergeCell ref="A642:B642"/>
    <mergeCell ref="A643:B643"/>
    <mergeCell ref="A757:B772"/>
    <mergeCell ref="A726:B726"/>
    <mergeCell ref="A727:B727"/>
    <mergeCell ref="A735:B735"/>
    <mergeCell ref="A736:B754"/>
    <mergeCell ref="A756:B756"/>
    <mergeCell ref="A645:B660"/>
    <mergeCell ref="A662:B662"/>
    <mergeCell ref="A663:B678"/>
    <mergeCell ref="A722:B722"/>
    <mergeCell ref="A724:B724"/>
    <mergeCell ref="A688:B688"/>
  </mergeCells>
  <pageMargins left="0.35433070866141736" right="0.15748031496062992" top="0.47244094488188981" bottom="0.35433070866141736" header="0.31496062992125984" footer="0.19685039370078741"/>
  <pageSetup paperSize="9" scale="55" orientation="portrait" r:id="rId1"/>
  <headerFooter>
    <oddFooter>&amp;C&amp;P</oddFooter>
  </headerFooter>
  <rowBreaks count="15" manualBreakCount="15">
    <brk id="20" max="1" man="1"/>
    <brk id="30" max="1" man="1"/>
    <brk id="38" max="1" man="1"/>
    <brk id="80" max="1" man="1"/>
    <brk id="143" max="1" man="1"/>
    <brk id="199" max="1" man="1"/>
    <brk id="241" max="1" man="1"/>
    <brk id="286" max="1" man="1"/>
    <brk id="349" max="1" man="1"/>
    <brk id="410" max="1" man="1"/>
    <brk id="474" max="1" man="1"/>
    <brk id="535" max="1" man="1"/>
    <brk id="595" max="1" man="1"/>
    <brk id="661" max="1" man="1"/>
    <brk id="72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view="pageBreakPreview" topLeftCell="A22" zoomScaleNormal="100" zoomScaleSheetLayoutView="100" workbookViewId="0">
      <selection activeCell="R43" sqref="R43"/>
    </sheetView>
  </sheetViews>
  <sheetFormatPr baseColWidth="10" defaultColWidth="11.5703125" defaultRowHeight="16.5" x14ac:dyDescent="0.3"/>
  <cols>
    <col min="1" max="1" width="45" style="301" customWidth="1"/>
    <col min="2" max="13" width="5.28515625" style="301" bestFit="1" customWidth="1"/>
    <col min="14" max="16384" width="11.5703125" style="301"/>
  </cols>
  <sheetData>
    <row r="2" spans="1:14" s="316" customFormat="1" ht="54.4" customHeight="1" x14ac:dyDescent="0.3">
      <c r="A2" s="499" t="s">
        <v>610</v>
      </c>
      <c r="B2" s="500">
        <v>40634</v>
      </c>
      <c r="C2" s="500">
        <v>40664</v>
      </c>
      <c r="D2" s="500">
        <v>40695</v>
      </c>
      <c r="E2" s="500">
        <v>40725</v>
      </c>
      <c r="F2" s="500">
        <v>40756</v>
      </c>
      <c r="G2" s="500">
        <v>40787</v>
      </c>
      <c r="H2" s="500">
        <v>40817</v>
      </c>
      <c r="I2" s="500">
        <v>40848</v>
      </c>
      <c r="J2" s="500">
        <v>40878</v>
      </c>
      <c r="K2" s="500">
        <v>40909</v>
      </c>
      <c r="L2" s="500">
        <v>40940</v>
      </c>
      <c r="M2" s="500">
        <v>40969</v>
      </c>
      <c r="N2" s="501" t="s">
        <v>583</v>
      </c>
    </row>
    <row r="3" spans="1:14" x14ac:dyDescent="0.3">
      <c r="A3" s="807" t="s">
        <v>603</v>
      </c>
      <c r="B3" s="808"/>
      <c r="C3" s="808"/>
      <c r="D3" s="808"/>
      <c r="E3" s="808"/>
      <c r="F3" s="808"/>
      <c r="G3" s="808"/>
      <c r="H3" s="808"/>
      <c r="I3" s="808"/>
      <c r="J3" s="808"/>
      <c r="K3" s="808"/>
      <c r="L3" s="808"/>
      <c r="M3" s="808"/>
      <c r="N3" s="809"/>
    </row>
    <row r="4" spans="1:14" s="389" customFormat="1" x14ac:dyDescent="0.3">
      <c r="A4" s="502" t="s">
        <v>608</v>
      </c>
      <c r="B4" s="503"/>
      <c r="C4" s="503"/>
      <c r="D4" s="503"/>
      <c r="E4" s="503"/>
      <c r="F4" s="503"/>
      <c r="G4" s="503"/>
      <c r="H4" s="503"/>
      <c r="I4" s="503"/>
      <c r="J4" s="503"/>
      <c r="K4" s="503"/>
      <c r="L4" s="503"/>
      <c r="M4" s="503"/>
      <c r="N4" s="503"/>
    </row>
    <row r="5" spans="1:14" x14ac:dyDescent="0.3">
      <c r="A5" s="504" t="s">
        <v>609</v>
      </c>
      <c r="B5" s="505"/>
      <c r="C5" s="505"/>
      <c r="D5" s="505"/>
      <c r="E5" s="505"/>
      <c r="F5" s="505"/>
      <c r="G5" s="505"/>
      <c r="H5" s="505"/>
      <c r="I5" s="505"/>
      <c r="J5" s="505"/>
      <c r="K5" s="505"/>
      <c r="L5" s="505"/>
      <c r="M5" s="505"/>
      <c r="N5" s="505"/>
    </row>
    <row r="6" spans="1:14" x14ac:dyDescent="0.3">
      <c r="A6" s="504" t="s">
        <v>591</v>
      </c>
      <c r="B6" s="505"/>
      <c r="C6" s="505"/>
      <c r="D6" s="505"/>
      <c r="E6" s="505"/>
      <c r="F6" s="505"/>
      <c r="G6" s="505"/>
      <c r="H6" s="505"/>
      <c r="I6" s="505"/>
      <c r="J6" s="505"/>
      <c r="K6" s="505"/>
      <c r="L6" s="505"/>
      <c r="M6" s="505"/>
      <c r="N6" s="505"/>
    </row>
    <row r="7" spans="1:14" x14ac:dyDescent="0.3">
      <c r="A7" s="504" t="s">
        <v>592</v>
      </c>
      <c r="B7" s="505"/>
      <c r="C7" s="505"/>
      <c r="D7" s="505"/>
      <c r="E7" s="505"/>
      <c r="F7" s="505"/>
      <c r="G7" s="505"/>
      <c r="H7" s="505"/>
      <c r="I7" s="505"/>
      <c r="J7" s="505"/>
      <c r="K7" s="505"/>
      <c r="L7" s="505"/>
      <c r="M7" s="505"/>
      <c r="N7" s="505"/>
    </row>
    <row r="8" spans="1:14" x14ac:dyDescent="0.3">
      <c r="A8" s="506"/>
      <c r="B8" s="505"/>
      <c r="C8" s="505"/>
      <c r="D8" s="505"/>
      <c r="E8" s="505"/>
      <c r="F8" s="505"/>
      <c r="G8" s="505"/>
      <c r="H8" s="505"/>
      <c r="I8" s="505"/>
      <c r="J8" s="505"/>
      <c r="K8" s="505"/>
      <c r="L8" s="505"/>
      <c r="M8" s="505"/>
      <c r="N8" s="505"/>
    </row>
    <row r="9" spans="1:14" s="389" customFormat="1" x14ac:dyDescent="0.3">
      <c r="A9" s="504" t="s">
        <v>607</v>
      </c>
      <c r="B9" s="503"/>
      <c r="C9" s="503"/>
      <c r="D9" s="503"/>
      <c r="E9" s="503"/>
      <c r="F9" s="503"/>
      <c r="G9" s="503"/>
      <c r="H9" s="503"/>
      <c r="I9" s="503"/>
      <c r="J9" s="503"/>
      <c r="K9" s="503"/>
      <c r="L9" s="503"/>
      <c r="M9" s="503"/>
      <c r="N9" s="503"/>
    </row>
    <row r="10" spans="1:14" x14ac:dyDescent="0.3">
      <c r="A10" s="504" t="s">
        <v>587</v>
      </c>
      <c r="B10" s="505"/>
      <c r="C10" s="505"/>
      <c r="D10" s="505"/>
      <c r="E10" s="505"/>
      <c r="F10" s="505"/>
      <c r="G10" s="505"/>
      <c r="H10" s="505"/>
      <c r="I10" s="505"/>
      <c r="J10" s="505"/>
      <c r="K10" s="505"/>
      <c r="L10" s="505"/>
      <c r="M10" s="505"/>
      <c r="N10" s="505"/>
    </row>
    <row r="11" spans="1:14" x14ac:dyDescent="0.3">
      <c r="A11" s="504" t="s">
        <v>588</v>
      </c>
      <c r="B11" s="505"/>
      <c r="C11" s="505"/>
      <c r="D11" s="505"/>
      <c r="E11" s="505"/>
      <c r="F11" s="505"/>
      <c r="G11" s="505"/>
      <c r="H11" s="505"/>
      <c r="I11" s="505"/>
      <c r="J11" s="505"/>
      <c r="K11" s="505"/>
      <c r="L11" s="505"/>
      <c r="M11" s="505"/>
      <c r="N11" s="505"/>
    </row>
    <row r="12" spans="1:14" x14ac:dyDescent="0.3">
      <c r="A12" s="504" t="s">
        <v>589</v>
      </c>
      <c r="B12" s="505"/>
      <c r="C12" s="505"/>
      <c r="D12" s="505"/>
      <c r="E12" s="505"/>
      <c r="F12" s="505"/>
      <c r="G12" s="505"/>
      <c r="H12" s="505"/>
      <c r="I12" s="505"/>
      <c r="J12" s="505"/>
      <c r="K12" s="505"/>
      <c r="L12" s="505"/>
      <c r="M12" s="505"/>
      <c r="N12" s="505"/>
    </row>
    <row r="13" spans="1:14" x14ac:dyDescent="0.3">
      <c r="A13" s="507"/>
      <c r="B13" s="505"/>
      <c r="C13" s="505"/>
      <c r="D13" s="505"/>
      <c r="E13" s="505"/>
      <c r="F13" s="505"/>
      <c r="G13" s="505"/>
      <c r="H13" s="505"/>
      <c r="I13" s="505"/>
      <c r="J13" s="505"/>
      <c r="K13" s="505"/>
      <c r="L13" s="505"/>
      <c r="M13" s="505"/>
      <c r="N13" s="505"/>
    </row>
    <row r="14" spans="1:14" s="389" customFormat="1" x14ac:dyDescent="0.3">
      <c r="A14" s="504" t="s">
        <v>606</v>
      </c>
      <c r="B14" s="503"/>
      <c r="C14" s="503"/>
      <c r="D14" s="503"/>
      <c r="E14" s="503"/>
      <c r="F14" s="503"/>
      <c r="G14" s="503"/>
      <c r="H14" s="503"/>
      <c r="I14" s="503"/>
      <c r="J14" s="503"/>
      <c r="K14" s="503"/>
      <c r="L14" s="503"/>
      <c r="M14" s="503"/>
      <c r="N14" s="503"/>
    </row>
    <row r="15" spans="1:14" x14ac:dyDescent="0.3">
      <c r="A15" s="504" t="s">
        <v>584</v>
      </c>
      <c r="B15" s="505"/>
      <c r="C15" s="505"/>
      <c r="D15" s="505"/>
      <c r="E15" s="505"/>
      <c r="F15" s="505"/>
      <c r="G15" s="505"/>
      <c r="H15" s="505"/>
      <c r="I15" s="505"/>
      <c r="J15" s="505"/>
      <c r="K15" s="505"/>
      <c r="L15" s="505"/>
      <c r="M15" s="505"/>
      <c r="N15" s="505"/>
    </row>
    <row r="16" spans="1:14" x14ac:dyDescent="0.3">
      <c r="A16" s="504" t="s">
        <v>585</v>
      </c>
      <c r="B16" s="505"/>
      <c r="C16" s="505"/>
      <c r="D16" s="505"/>
      <c r="E16" s="505"/>
      <c r="F16" s="505"/>
      <c r="G16" s="505"/>
      <c r="H16" s="505"/>
      <c r="I16" s="505"/>
      <c r="J16" s="505"/>
      <c r="K16" s="505"/>
      <c r="L16" s="505"/>
      <c r="M16" s="505"/>
      <c r="N16" s="505"/>
    </row>
    <row r="17" spans="1:14" x14ac:dyDescent="0.3">
      <c r="A17" s="504" t="s">
        <v>586</v>
      </c>
      <c r="B17" s="505"/>
      <c r="C17" s="505"/>
      <c r="D17" s="505"/>
      <c r="E17" s="505"/>
      <c r="F17" s="505"/>
      <c r="G17" s="505"/>
      <c r="H17" s="505"/>
      <c r="I17" s="505"/>
      <c r="J17" s="505"/>
      <c r="K17" s="505"/>
      <c r="L17" s="505"/>
      <c r="M17" s="505"/>
      <c r="N17" s="505"/>
    </row>
    <row r="18" spans="1:14" x14ac:dyDescent="0.3">
      <c r="A18" s="504"/>
      <c r="B18" s="505"/>
      <c r="C18" s="505"/>
      <c r="D18" s="505"/>
      <c r="E18" s="505"/>
      <c r="F18" s="505"/>
      <c r="G18" s="505"/>
      <c r="H18" s="505"/>
      <c r="I18" s="505"/>
      <c r="J18" s="505"/>
      <c r="K18" s="505"/>
      <c r="L18" s="505"/>
      <c r="M18" s="505"/>
      <c r="N18" s="505"/>
    </row>
    <row r="19" spans="1:14" x14ac:dyDescent="0.3">
      <c r="A19" s="807" t="s">
        <v>604</v>
      </c>
      <c r="B19" s="808"/>
      <c r="C19" s="808"/>
      <c r="D19" s="808"/>
      <c r="E19" s="808"/>
      <c r="F19" s="808"/>
      <c r="G19" s="808"/>
      <c r="H19" s="808"/>
      <c r="I19" s="808"/>
      <c r="J19" s="808"/>
      <c r="K19" s="808"/>
      <c r="L19" s="808"/>
      <c r="M19" s="808"/>
      <c r="N19" s="809"/>
    </row>
    <row r="20" spans="1:14" x14ac:dyDescent="0.3">
      <c r="A20" s="506" t="s">
        <v>590</v>
      </c>
      <c r="B20" s="505"/>
      <c r="C20" s="505"/>
      <c r="D20" s="505"/>
      <c r="E20" s="505"/>
      <c r="F20" s="505"/>
      <c r="G20" s="505"/>
      <c r="H20" s="505"/>
      <c r="I20" s="505"/>
      <c r="J20" s="505"/>
      <c r="K20" s="505"/>
      <c r="L20" s="505"/>
      <c r="M20" s="505"/>
      <c r="N20" s="505"/>
    </row>
    <row r="21" spans="1:14" x14ac:dyDescent="0.3">
      <c r="A21" s="504" t="s">
        <v>593</v>
      </c>
      <c r="B21" s="505"/>
      <c r="C21" s="505"/>
      <c r="D21" s="505"/>
      <c r="E21" s="505"/>
      <c r="F21" s="505"/>
      <c r="G21" s="505"/>
      <c r="H21" s="505"/>
      <c r="I21" s="505"/>
      <c r="J21" s="505"/>
      <c r="K21" s="505"/>
      <c r="L21" s="505"/>
      <c r="M21" s="505"/>
      <c r="N21" s="505"/>
    </row>
    <row r="22" spans="1:14" x14ac:dyDescent="0.3">
      <c r="A22" s="504" t="s">
        <v>594</v>
      </c>
      <c r="B22" s="505"/>
      <c r="C22" s="505"/>
      <c r="D22" s="505"/>
      <c r="E22" s="505"/>
      <c r="F22" s="505"/>
      <c r="G22" s="505"/>
      <c r="H22" s="505"/>
      <c r="I22" s="505"/>
      <c r="J22" s="505"/>
      <c r="K22" s="505"/>
      <c r="L22" s="505"/>
      <c r="M22" s="505"/>
      <c r="N22" s="505"/>
    </row>
    <row r="23" spans="1:14" x14ac:dyDescent="0.3">
      <c r="A23" s="504" t="s">
        <v>595</v>
      </c>
      <c r="B23" s="505"/>
      <c r="C23" s="505"/>
      <c r="D23" s="505"/>
      <c r="E23" s="505"/>
      <c r="F23" s="505"/>
      <c r="G23" s="505"/>
      <c r="H23" s="505"/>
      <c r="I23" s="505"/>
      <c r="J23" s="505"/>
      <c r="K23" s="505"/>
      <c r="L23" s="505"/>
      <c r="M23" s="505"/>
      <c r="N23" s="505"/>
    </row>
    <row r="24" spans="1:14" x14ac:dyDescent="0.3">
      <c r="A24" s="508"/>
      <c r="B24" s="505"/>
      <c r="C24" s="505"/>
      <c r="D24" s="505"/>
      <c r="E24" s="505"/>
      <c r="F24" s="505"/>
      <c r="G24" s="505"/>
      <c r="H24" s="505"/>
      <c r="I24" s="505"/>
      <c r="J24" s="505"/>
      <c r="K24" s="505"/>
      <c r="L24" s="505"/>
      <c r="M24" s="505"/>
      <c r="N24" s="505"/>
    </row>
    <row r="25" spans="1:14" x14ac:dyDescent="0.3">
      <c r="A25" s="507" t="s">
        <v>599</v>
      </c>
      <c r="B25" s="505"/>
      <c r="C25" s="505"/>
      <c r="D25" s="505"/>
      <c r="E25" s="505"/>
      <c r="F25" s="505"/>
      <c r="G25" s="505"/>
      <c r="H25" s="505"/>
      <c r="I25" s="505"/>
      <c r="J25" s="505"/>
      <c r="K25" s="505"/>
      <c r="L25" s="505"/>
      <c r="M25" s="505"/>
      <c r="N25" s="505"/>
    </row>
    <row r="26" spans="1:14" x14ac:dyDescent="0.3">
      <c r="A26" s="504" t="s">
        <v>596</v>
      </c>
      <c r="B26" s="505"/>
      <c r="C26" s="505"/>
      <c r="D26" s="505"/>
      <c r="E26" s="505"/>
      <c r="F26" s="505"/>
      <c r="G26" s="505"/>
      <c r="H26" s="505"/>
      <c r="I26" s="505"/>
      <c r="J26" s="505"/>
      <c r="K26" s="505"/>
      <c r="L26" s="505"/>
      <c r="M26" s="505"/>
      <c r="N26" s="505"/>
    </row>
    <row r="27" spans="1:14" x14ac:dyDescent="0.3">
      <c r="A27" s="504" t="s">
        <v>597</v>
      </c>
      <c r="B27" s="505"/>
      <c r="C27" s="505"/>
      <c r="D27" s="505"/>
      <c r="E27" s="505"/>
      <c r="F27" s="505"/>
      <c r="G27" s="505"/>
      <c r="H27" s="505"/>
      <c r="I27" s="505"/>
      <c r="J27" s="505"/>
      <c r="K27" s="505"/>
      <c r="L27" s="505"/>
      <c r="M27" s="505"/>
      <c r="N27" s="505"/>
    </row>
    <row r="28" spans="1:14" x14ac:dyDescent="0.3">
      <c r="A28" s="504" t="s">
        <v>598</v>
      </c>
      <c r="B28" s="505"/>
      <c r="C28" s="505"/>
      <c r="D28" s="505"/>
      <c r="E28" s="505"/>
      <c r="F28" s="505"/>
      <c r="G28" s="505"/>
      <c r="H28" s="505"/>
      <c r="I28" s="505"/>
      <c r="J28" s="505"/>
      <c r="K28" s="505"/>
      <c r="L28" s="505"/>
      <c r="M28" s="505"/>
      <c r="N28" s="505"/>
    </row>
    <row r="29" spans="1:14" x14ac:dyDescent="0.3">
      <c r="A29" s="509"/>
      <c r="B29" s="505"/>
      <c r="C29" s="505"/>
      <c r="D29" s="505"/>
      <c r="E29" s="505"/>
      <c r="F29" s="505"/>
      <c r="G29" s="505"/>
      <c r="H29" s="505"/>
      <c r="I29" s="505"/>
      <c r="J29" s="505"/>
      <c r="K29" s="505"/>
      <c r="L29" s="505"/>
      <c r="M29" s="505"/>
      <c r="N29" s="505"/>
    </row>
    <row r="30" spans="1:14" x14ac:dyDescent="0.3">
      <c r="A30" s="507" t="s">
        <v>600</v>
      </c>
      <c r="B30" s="505"/>
      <c r="C30" s="505"/>
      <c r="D30" s="505"/>
      <c r="E30" s="505"/>
      <c r="F30" s="505"/>
      <c r="G30" s="505"/>
      <c r="H30" s="505"/>
      <c r="I30" s="505"/>
      <c r="J30" s="505"/>
      <c r="K30" s="505"/>
      <c r="L30" s="505"/>
      <c r="M30" s="505"/>
      <c r="N30" s="505"/>
    </row>
    <row r="31" spans="1:14" x14ac:dyDescent="0.3">
      <c r="A31" s="504" t="s">
        <v>601</v>
      </c>
      <c r="B31" s="505"/>
      <c r="C31" s="505"/>
      <c r="D31" s="505"/>
      <c r="E31" s="505"/>
      <c r="F31" s="505"/>
      <c r="G31" s="505"/>
      <c r="H31" s="505"/>
      <c r="I31" s="505"/>
      <c r="J31" s="505"/>
      <c r="K31" s="505"/>
      <c r="L31" s="505"/>
      <c r="M31" s="505"/>
      <c r="N31" s="505"/>
    </row>
    <row r="32" spans="1:14" x14ac:dyDescent="0.3">
      <c r="A32" s="504" t="s">
        <v>602</v>
      </c>
      <c r="B32" s="505"/>
      <c r="C32" s="505"/>
      <c r="D32" s="505"/>
      <c r="E32" s="505"/>
      <c r="F32" s="505"/>
      <c r="G32" s="505"/>
      <c r="H32" s="505"/>
      <c r="I32" s="505"/>
      <c r="J32" s="505"/>
      <c r="K32" s="505"/>
      <c r="L32" s="505"/>
      <c r="M32" s="505"/>
      <c r="N32" s="505"/>
    </row>
    <row r="33" spans="1:14" x14ac:dyDescent="0.3">
      <c r="A33" s="504" t="s">
        <v>598</v>
      </c>
      <c r="B33" s="505"/>
      <c r="C33" s="505"/>
      <c r="D33" s="505"/>
      <c r="E33" s="505"/>
      <c r="F33" s="505"/>
      <c r="G33" s="505"/>
      <c r="H33" s="505"/>
      <c r="I33" s="505"/>
      <c r="J33" s="505"/>
      <c r="K33" s="505"/>
      <c r="L33" s="505"/>
      <c r="M33" s="505"/>
      <c r="N33" s="505"/>
    </row>
    <row r="34" spans="1:14" x14ac:dyDescent="0.3">
      <c r="A34" s="807" t="s">
        <v>605</v>
      </c>
      <c r="B34" s="808"/>
      <c r="C34" s="808"/>
      <c r="D34" s="808"/>
      <c r="E34" s="808"/>
      <c r="F34" s="808"/>
      <c r="G34" s="808"/>
      <c r="H34" s="808"/>
      <c r="I34" s="808"/>
      <c r="J34" s="808"/>
      <c r="K34" s="808"/>
      <c r="L34" s="808"/>
      <c r="M34" s="808"/>
      <c r="N34" s="809"/>
    </row>
    <row r="35" spans="1:14" x14ac:dyDescent="0.3">
      <c r="A35" s="502" t="s">
        <v>611</v>
      </c>
      <c r="B35" s="505"/>
      <c r="C35" s="505"/>
      <c r="D35" s="505"/>
      <c r="E35" s="505"/>
      <c r="F35" s="505"/>
      <c r="G35" s="505"/>
      <c r="H35" s="505"/>
      <c r="I35" s="505"/>
      <c r="J35" s="505"/>
      <c r="K35" s="505"/>
      <c r="L35" s="505"/>
      <c r="M35" s="505"/>
      <c r="N35" s="505"/>
    </row>
    <row r="36" spans="1:14" x14ac:dyDescent="0.3">
      <c r="A36" s="504" t="s">
        <v>614</v>
      </c>
      <c r="B36" s="505"/>
      <c r="C36" s="505"/>
      <c r="D36" s="505"/>
      <c r="E36" s="505"/>
      <c r="F36" s="505"/>
      <c r="G36" s="505"/>
      <c r="H36" s="505"/>
      <c r="I36" s="505"/>
      <c r="J36" s="505"/>
      <c r="K36" s="505"/>
      <c r="L36" s="505"/>
      <c r="M36" s="505"/>
      <c r="N36" s="505"/>
    </row>
    <row r="37" spans="1:14" x14ac:dyDescent="0.3">
      <c r="A37" s="504" t="s">
        <v>615</v>
      </c>
      <c r="B37" s="505"/>
      <c r="C37" s="505"/>
      <c r="D37" s="505"/>
      <c r="E37" s="505"/>
      <c r="F37" s="505"/>
      <c r="G37" s="505"/>
      <c r="H37" s="505"/>
      <c r="I37" s="505"/>
      <c r="J37" s="505"/>
      <c r="K37" s="505"/>
      <c r="L37" s="505"/>
      <c r="M37" s="505"/>
      <c r="N37" s="505"/>
    </row>
    <row r="38" spans="1:14" x14ac:dyDescent="0.3">
      <c r="A38" s="504" t="s">
        <v>616</v>
      </c>
      <c r="B38" s="505"/>
      <c r="C38" s="505"/>
      <c r="D38" s="505"/>
      <c r="E38" s="505"/>
      <c r="F38" s="505"/>
      <c r="G38" s="505"/>
      <c r="H38" s="505"/>
      <c r="I38" s="505"/>
      <c r="J38" s="505"/>
      <c r="K38" s="505"/>
      <c r="L38" s="505"/>
      <c r="M38" s="505"/>
      <c r="N38" s="505"/>
    </row>
    <row r="39" spans="1:14" x14ac:dyDescent="0.3">
      <c r="A39" s="505"/>
      <c r="B39" s="505"/>
      <c r="C39" s="505"/>
      <c r="D39" s="505"/>
      <c r="E39" s="505"/>
      <c r="F39" s="505"/>
      <c r="G39" s="505"/>
      <c r="H39" s="505"/>
      <c r="I39" s="505"/>
      <c r="J39" s="505"/>
      <c r="K39" s="505"/>
      <c r="L39" s="505"/>
      <c r="M39" s="505"/>
      <c r="N39" s="505"/>
    </row>
    <row r="40" spans="1:14" x14ac:dyDescent="0.3">
      <c r="A40" s="504" t="s">
        <v>612</v>
      </c>
      <c r="B40" s="505"/>
      <c r="C40" s="505"/>
      <c r="D40" s="505"/>
      <c r="E40" s="505"/>
      <c r="F40" s="505"/>
      <c r="G40" s="505"/>
      <c r="H40" s="505"/>
      <c r="I40" s="505"/>
      <c r="J40" s="505"/>
      <c r="K40" s="505"/>
      <c r="L40" s="505"/>
      <c r="M40" s="505"/>
      <c r="N40" s="505"/>
    </row>
    <row r="41" spans="1:14" x14ac:dyDescent="0.3">
      <c r="A41" s="504" t="s">
        <v>614</v>
      </c>
      <c r="B41" s="505"/>
      <c r="C41" s="505"/>
      <c r="D41" s="505"/>
      <c r="E41" s="505"/>
      <c r="F41" s="505"/>
      <c r="G41" s="505"/>
      <c r="H41" s="505"/>
      <c r="I41" s="505"/>
      <c r="J41" s="505"/>
      <c r="K41" s="505"/>
      <c r="L41" s="505"/>
      <c r="M41" s="505"/>
      <c r="N41" s="505"/>
    </row>
    <row r="42" spans="1:14" x14ac:dyDescent="0.3">
      <c r="A42" s="504" t="s">
        <v>615</v>
      </c>
      <c r="B42" s="505"/>
      <c r="C42" s="505"/>
      <c r="D42" s="505"/>
      <c r="E42" s="505"/>
      <c r="F42" s="505"/>
      <c r="G42" s="505"/>
      <c r="H42" s="505"/>
      <c r="I42" s="505"/>
      <c r="J42" s="505"/>
      <c r="K42" s="505"/>
      <c r="L42" s="505"/>
      <c r="M42" s="505"/>
      <c r="N42" s="505"/>
    </row>
    <row r="43" spans="1:14" x14ac:dyDescent="0.3">
      <c r="A43" s="504" t="s">
        <v>616</v>
      </c>
      <c r="B43" s="505"/>
      <c r="C43" s="505"/>
      <c r="D43" s="505"/>
      <c r="E43" s="505"/>
      <c r="F43" s="505"/>
      <c r="G43" s="505"/>
      <c r="H43" s="505"/>
      <c r="I43" s="505"/>
      <c r="J43" s="505"/>
      <c r="K43" s="505"/>
      <c r="L43" s="505"/>
      <c r="M43" s="505"/>
      <c r="N43" s="505"/>
    </row>
    <row r="44" spans="1:14" x14ac:dyDescent="0.3">
      <c r="A44" s="505"/>
      <c r="B44" s="505"/>
      <c r="C44" s="505"/>
      <c r="D44" s="505"/>
      <c r="E44" s="505"/>
      <c r="F44" s="505"/>
      <c r="G44" s="505"/>
      <c r="H44" s="505"/>
      <c r="I44" s="505"/>
      <c r="J44" s="505"/>
      <c r="K44" s="505"/>
      <c r="L44" s="505"/>
      <c r="M44" s="505"/>
      <c r="N44" s="505"/>
    </row>
    <row r="45" spans="1:14" x14ac:dyDescent="0.3">
      <c r="A45" s="504" t="s">
        <v>613</v>
      </c>
      <c r="B45" s="505"/>
      <c r="C45" s="505"/>
      <c r="D45" s="505"/>
      <c r="E45" s="505"/>
      <c r="F45" s="505"/>
      <c r="G45" s="505"/>
      <c r="H45" s="505"/>
      <c r="I45" s="505"/>
      <c r="J45" s="505"/>
      <c r="K45" s="505"/>
      <c r="L45" s="505"/>
      <c r="M45" s="505"/>
      <c r="N45" s="505"/>
    </row>
    <row r="46" spans="1:14" x14ac:dyDescent="0.3">
      <c r="A46" s="504" t="s">
        <v>617</v>
      </c>
      <c r="B46" s="505"/>
      <c r="C46" s="505"/>
      <c r="D46" s="505"/>
      <c r="E46" s="505"/>
      <c r="F46" s="505"/>
      <c r="G46" s="505"/>
      <c r="H46" s="505"/>
      <c r="I46" s="505"/>
      <c r="J46" s="505"/>
      <c r="K46" s="505"/>
      <c r="L46" s="505"/>
      <c r="M46" s="505"/>
      <c r="N46" s="505"/>
    </row>
    <row r="47" spans="1:14" x14ac:dyDescent="0.3">
      <c r="A47" s="504" t="s">
        <v>618</v>
      </c>
      <c r="B47" s="505"/>
      <c r="C47" s="505"/>
      <c r="D47" s="505"/>
      <c r="E47" s="505"/>
      <c r="F47" s="505"/>
      <c r="G47" s="505"/>
      <c r="H47" s="505"/>
      <c r="I47" s="505"/>
      <c r="J47" s="505"/>
      <c r="K47" s="505"/>
      <c r="L47" s="505"/>
      <c r="M47" s="505"/>
      <c r="N47" s="505"/>
    </row>
    <row r="48" spans="1:14" x14ac:dyDescent="0.3">
      <c r="A48" s="504" t="s">
        <v>617</v>
      </c>
      <c r="B48" s="505"/>
      <c r="C48" s="505"/>
      <c r="D48" s="505"/>
      <c r="E48" s="505"/>
      <c r="F48" s="505"/>
      <c r="G48" s="505"/>
      <c r="H48" s="505"/>
      <c r="I48" s="505"/>
      <c r="J48" s="505"/>
      <c r="K48" s="505"/>
      <c r="L48" s="505"/>
      <c r="M48" s="505"/>
      <c r="N48" s="505"/>
    </row>
  </sheetData>
  <mergeCells count="3">
    <mergeCell ref="A3:N3"/>
    <mergeCell ref="A19:N19"/>
    <mergeCell ref="A34:N34"/>
  </mergeCells>
  <pageMargins left="0.70866141732283472" right="0.23622047244094491" top="0.74803149606299213" bottom="0.74803149606299213" header="0.31496062992125984" footer="0.31496062992125984"/>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tabSelected="1" view="pageBreakPreview" zoomScaleNormal="100" zoomScaleSheetLayoutView="100" workbookViewId="0">
      <selection activeCell="G11" sqref="G11"/>
    </sheetView>
  </sheetViews>
  <sheetFormatPr baseColWidth="10" defaultColWidth="11.5703125" defaultRowHeight="16.5" x14ac:dyDescent="0.3"/>
  <cols>
    <col min="1" max="1" width="27.140625" style="291" bestFit="1" customWidth="1"/>
    <col min="2" max="2" width="18.28515625" style="303" customWidth="1"/>
    <col min="3" max="3" width="51.7109375" style="302" bestFit="1" customWidth="1"/>
    <col min="4" max="4" width="36.5703125" style="301" bestFit="1" customWidth="1"/>
    <col min="5" max="16384" width="11.5703125" style="301"/>
  </cols>
  <sheetData>
    <row r="2" spans="1:4" ht="15" customHeight="1" x14ac:dyDescent="0.3">
      <c r="A2" s="567" t="s">
        <v>336</v>
      </c>
      <c r="B2" s="568" t="s">
        <v>335</v>
      </c>
      <c r="C2" s="569" t="s">
        <v>334</v>
      </c>
      <c r="D2" s="569" t="s">
        <v>582</v>
      </c>
    </row>
    <row r="3" spans="1:4" x14ac:dyDescent="0.3">
      <c r="A3" s="810" t="s">
        <v>333</v>
      </c>
      <c r="B3" s="570" t="s">
        <v>326</v>
      </c>
      <c r="C3" s="571"/>
      <c r="D3" s="572"/>
    </row>
    <row r="4" spans="1:4" x14ac:dyDescent="0.3">
      <c r="A4" s="812"/>
      <c r="B4" s="570" t="s">
        <v>325</v>
      </c>
      <c r="C4" s="507"/>
      <c r="D4" s="572"/>
    </row>
    <row r="5" spans="1:4" x14ac:dyDescent="0.3">
      <c r="A5" s="812"/>
      <c r="B5" s="570" t="s">
        <v>324</v>
      </c>
      <c r="C5" s="507"/>
      <c r="D5" s="572"/>
    </row>
    <row r="6" spans="1:4" x14ac:dyDescent="0.3">
      <c r="A6" s="811"/>
      <c r="B6" s="570" t="s">
        <v>323</v>
      </c>
      <c r="C6" s="571"/>
      <c r="D6" s="572"/>
    </row>
    <row r="7" spans="1:4" x14ac:dyDescent="0.3">
      <c r="A7" s="810" t="s">
        <v>332</v>
      </c>
      <c r="B7" s="570" t="s">
        <v>321</v>
      </c>
      <c r="C7" s="507"/>
      <c r="D7" s="572"/>
    </row>
    <row r="8" spans="1:4" x14ac:dyDescent="0.3">
      <c r="A8" s="812"/>
      <c r="B8" s="570" t="s">
        <v>320</v>
      </c>
      <c r="C8" s="571"/>
      <c r="D8" s="572"/>
    </row>
    <row r="9" spans="1:4" x14ac:dyDescent="0.3">
      <c r="A9" s="812"/>
      <c r="B9" s="570" t="s">
        <v>319</v>
      </c>
      <c r="C9" s="571"/>
      <c r="D9" s="572"/>
    </row>
    <row r="10" spans="1:4" x14ac:dyDescent="0.3">
      <c r="A10" s="812"/>
      <c r="B10" s="570" t="s">
        <v>318</v>
      </c>
      <c r="C10" s="571"/>
      <c r="D10" s="572"/>
    </row>
    <row r="11" spans="1:4" x14ac:dyDescent="0.3">
      <c r="A11" s="811"/>
      <c r="B11" s="570" t="s">
        <v>317</v>
      </c>
      <c r="C11" s="573"/>
      <c r="D11" s="572"/>
    </row>
    <row r="12" spans="1:4" x14ac:dyDescent="0.3">
      <c r="A12" s="810" t="s">
        <v>331</v>
      </c>
      <c r="B12" s="570" t="s">
        <v>315</v>
      </c>
      <c r="C12" s="571"/>
      <c r="D12" s="572"/>
    </row>
    <row r="13" spans="1:4" x14ac:dyDescent="0.3">
      <c r="A13" s="812"/>
      <c r="B13" s="570" t="s">
        <v>314</v>
      </c>
      <c r="C13" s="573"/>
      <c r="D13" s="572"/>
    </row>
    <row r="14" spans="1:4" x14ac:dyDescent="0.3">
      <c r="A14" s="812"/>
      <c r="B14" s="570" t="s">
        <v>313</v>
      </c>
      <c r="C14" s="573"/>
      <c r="D14" s="572"/>
    </row>
    <row r="15" spans="1:4" x14ac:dyDescent="0.3">
      <c r="A15" s="812"/>
      <c r="B15" s="570" t="s">
        <v>312</v>
      </c>
      <c r="C15" s="573"/>
      <c r="D15" s="572"/>
    </row>
    <row r="16" spans="1:4" ht="18.95" customHeight="1" x14ac:dyDescent="0.3">
      <c r="A16" s="810" t="s">
        <v>330</v>
      </c>
      <c r="B16" s="570" t="s">
        <v>310</v>
      </c>
      <c r="C16" s="573"/>
      <c r="D16" s="572"/>
    </row>
    <row r="17" spans="1:4" ht="18.95" customHeight="1" x14ac:dyDescent="0.3">
      <c r="A17" s="812"/>
      <c r="B17" s="570" t="s">
        <v>309</v>
      </c>
      <c r="C17" s="573"/>
      <c r="D17" s="572"/>
    </row>
    <row r="18" spans="1:4" ht="18.95" customHeight="1" x14ac:dyDescent="0.3">
      <c r="A18" s="812"/>
      <c r="B18" s="570" t="s">
        <v>308</v>
      </c>
      <c r="C18" s="571"/>
      <c r="D18" s="573"/>
    </row>
    <row r="19" spans="1:4" ht="18.95" customHeight="1" x14ac:dyDescent="0.3">
      <c r="A19" s="812"/>
      <c r="B19" s="570" t="s">
        <v>307</v>
      </c>
      <c r="C19" s="573"/>
      <c r="D19" s="572"/>
    </row>
    <row r="20" spans="1:4" ht="18.95" customHeight="1" x14ac:dyDescent="0.3">
      <c r="A20" s="812"/>
      <c r="B20" s="570" t="s">
        <v>306</v>
      </c>
      <c r="C20" s="571"/>
      <c r="D20" s="573"/>
    </row>
    <row r="21" spans="1:4" ht="18.95" customHeight="1" x14ac:dyDescent="0.3">
      <c r="A21" s="811"/>
      <c r="B21" s="570" t="s">
        <v>305</v>
      </c>
      <c r="C21" s="571"/>
      <c r="D21" s="573"/>
    </row>
    <row r="22" spans="1:4" ht="18.95" customHeight="1" x14ac:dyDescent="0.3">
      <c r="A22" s="810" t="s">
        <v>329</v>
      </c>
      <c r="B22" s="570" t="s">
        <v>303</v>
      </c>
      <c r="C22" s="571"/>
      <c r="D22" s="573"/>
    </row>
    <row r="23" spans="1:4" ht="18.95" customHeight="1" x14ac:dyDescent="0.3">
      <c r="A23" s="812"/>
      <c r="B23" s="570" t="s">
        <v>302</v>
      </c>
      <c r="C23" s="571"/>
      <c r="D23" s="573"/>
    </row>
    <row r="24" spans="1:4" ht="18.95" customHeight="1" x14ac:dyDescent="0.3">
      <c r="A24" s="812"/>
      <c r="B24" s="570" t="s">
        <v>301</v>
      </c>
      <c r="C24" s="571"/>
      <c r="D24" s="573"/>
    </row>
    <row r="25" spans="1:4" ht="18.95" customHeight="1" x14ac:dyDescent="0.3">
      <c r="A25" s="812"/>
      <c r="B25" s="570" t="s">
        <v>300</v>
      </c>
      <c r="C25" s="571"/>
      <c r="D25" s="573"/>
    </row>
    <row r="26" spans="1:4" ht="18.95" customHeight="1" x14ac:dyDescent="0.3">
      <c r="A26" s="810" t="s">
        <v>328</v>
      </c>
      <c r="B26" s="570" t="s">
        <v>298</v>
      </c>
      <c r="C26" s="571"/>
      <c r="D26" s="573"/>
    </row>
    <row r="27" spans="1:4" ht="18.95" customHeight="1" x14ac:dyDescent="0.3">
      <c r="A27" s="811"/>
      <c r="B27" s="570" t="s">
        <v>297</v>
      </c>
      <c r="C27" s="571"/>
      <c r="D27" s="573"/>
    </row>
  </sheetData>
  <mergeCells count="6">
    <mergeCell ref="A26:A27"/>
    <mergeCell ref="A3:A6"/>
    <mergeCell ref="A7:A11"/>
    <mergeCell ref="A12:A15"/>
    <mergeCell ref="A16:A21"/>
    <mergeCell ref="A22:A25"/>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Capacités de gestion OP</vt:lpstr>
      <vt:lpstr>Cons Kouandé</vt:lpstr>
      <vt:lpstr>Stat coton</vt:lpstr>
      <vt:lpstr>STAT GOGOUNOU</vt:lpstr>
      <vt:lpstr>DONNEES QUANTITATIVES</vt:lpstr>
      <vt:lpstr>SYNTHE AUTO EVA</vt:lpstr>
      <vt:lpstr>RAPPORT</vt:lpstr>
      <vt:lpstr>PLAN D'ACTION2</vt:lpstr>
      <vt:lpstr>POINT FORTS &amp; POINT FAIBLES</vt:lpstr>
      <vt:lpstr>GRAPHIQUE  COMMUNE</vt:lpstr>
      <vt:lpstr>GRAPHIQUE  CVPC</vt:lpstr>
      <vt:lpstr>f</vt:lpstr>
      <vt:lpstr>'Capacités de gestion OP'!Impression_des_titres</vt:lpstr>
      <vt:lpstr>'PLAN D''ACTION2'!Impression_des_titres</vt:lpstr>
      <vt:lpstr>RAPPORT!Impression_des_titres</vt:lpstr>
      <vt:lpstr>'Stat coton'!Impression_des_titres</vt:lpstr>
      <vt:lpstr>'SYNTHE AUTO EVA'!Impression_des_titres</vt:lpstr>
      <vt:lpstr>KEROUPOURCENTAGECVPC</vt:lpstr>
      <vt:lpstr>KOUANDEPOURCENTAGECVPC</vt:lpstr>
      <vt:lpstr>'Cons Kouandé'!Zone_d_impression</vt:lpstr>
      <vt:lpstr>'DONNEES QUANTITATIVES'!Zone_d_impression</vt:lpstr>
      <vt:lpstr>RAPPORT!Zone_d_impression</vt:lpstr>
      <vt:lpstr>'STAT GOGOUNOU'!Zone_d_impression</vt:lpstr>
      <vt:lpstr>'SYNTHE AUTO EVA'!Zone_d_impression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sylvie bregeon</cp:lastModifiedBy>
  <cp:lastPrinted>2016-05-22T21:06:22Z</cp:lastPrinted>
  <dcterms:created xsi:type="dcterms:W3CDTF">2011-03-07T09:15:44Z</dcterms:created>
  <dcterms:modified xsi:type="dcterms:W3CDTF">2016-05-22T21:06:28Z</dcterms:modified>
</cp:coreProperties>
</file>